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1515" yWindow="5145" windowWidth="15480" windowHeight="6645" firstSheet="33" activeTab="33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012-13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</sheets>
  <definedNames>
    <definedName name="_xlnm.Print_Area" localSheetId="16">'Feb 19'!$A$7:$F$61</definedName>
    <definedName name="_xlnm.Print_Area" localSheetId="33">'FY 2012-13'!$A$1:$P$290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2012-13'!$A:$A,'FY 2012-13'!$1:$4</definedName>
    <definedName name="_xlnm.Print_Titles" localSheetId="39">'June 4'!$1:$5</definedName>
    <definedName name="_xlnm.Print_Titles" localSheetId="19">'Mar 12'!$1:$6</definedName>
  </definedNames>
  <calcPr calcId="145621"/>
</workbook>
</file>

<file path=xl/calcChain.xml><?xml version="1.0" encoding="utf-8"?>
<calcChain xmlns="http://schemas.openxmlformats.org/spreadsheetml/2006/main">
  <c r="O290" i="45" l="1"/>
  <c r="P290" i="45" s="1"/>
  <c r="O289" i="45"/>
  <c r="P289" i="45" s="1"/>
  <c r="O288" i="45"/>
  <c r="P288" i="45" s="1"/>
  <c r="O286" i="45"/>
  <c r="P286" i="45" s="1"/>
  <c r="O285" i="45"/>
  <c r="P285" i="45" s="1"/>
  <c r="O284" i="45"/>
  <c r="P284" i="45" s="1"/>
  <c r="O282" i="45"/>
  <c r="P282" i="45" s="1"/>
  <c r="O281" i="45"/>
  <c r="P281" i="45" s="1"/>
  <c r="O280" i="45"/>
  <c r="P280" i="45" s="1"/>
  <c r="M279" i="45"/>
  <c r="O278" i="45"/>
  <c r="P278" i="45" s="1"/>
  <c r="O277" i="45"/>
  <c r="P277" i="45" s="1"/>
  <c r="O276" i="45"/>
  <c r="P276" i="45" s="1"/>
  <c r="O274" i="45"/>
  <c r="P274" i="45" s="1"/>
  <c r="O273" i="45"/>
  <c r="P273" i="45" s="1"/>
  <c r="O272" i="45"/>
  <c r="P272" i="45" s="1"/>
  <c r="M271" i="45"/>
  <c r="P268" i="45"/>
  <c r="O268" i="45"/>
  <c r="P267" i="45"/>
  <c r="O267" i="45"/>
  <c r="P266" i="45"/>
  <c r="O266" i="45"/>
  <c r="P264" i="45"/>
  <c r="O264" i="45"/>
  <c r="P263" i="45"/>
  <c r="O263" i="45"/>
  <c r="P262" i="45"/>
  <c r="O262" i="45"/>
  <c r="P260" i="45"/>
  <c r="O260" i="45"/>
  <c r="P259" i="45"/>
  <c r="O259" i="45"/>
  <c r="P258" i="45"/>
  <c r="O258" i="45"/>
  <c r="P256" i="45"/>
  <c r="O256" i="45"/>
  <c r="P255" i="45"/>
  <c r="O255" i="45"/>
  <c r="P254" i="45"/>
  <c r="O254" i="45"/>
  <c r="P252" i="45"/>
  <c r="O252" i="45"/>
  <c r="P251" i="45"/>
  <c r="O251" i="45"/>
  <c r="P250" i="45"/>
  <c r="O250" i="45"/>
  <c r="P246" i="45"/>
  <c r="O246" i="45"/>
  <c r="P245" i="45"/>
  <c r="O245" i="45"/>
  <c r="P244" i="45"/>
  <c r="O244" i="45"/>
  <c r="P242" i="45"/>
  <c r="O242" i="45"/>
  <c r="P241" i="45"/>
  <c r="O241" i="45"/>
  <c r="P240" i="45"/>
  <c r="O240" i="45"/>
  <c r="P238" i="45"/>
  <c r="O238" i="45"/>
  <c r="P237" i="45"/>
  <c r="O237" i="45"/>
  <c r="P236" i="45"/>
  <c r="O236" i="45"/>
  <c r="P234" i="45"/>
  <c r="O234" i="45"/>
  <c r="P233" i="45"/>
  <c r="O233" i="45"/>
  <c r="P232" i="45"/>
  <c r="O232" i="45"/>
  <c r="P230" i="45"/>
  <c r="O230" i="45"/>
  <c r="P229" i="45"/>
  <c r="O229" i="45"/>
  <c r="P228" i="45"/>
  <c r="O228" i="45"/>
  <c r="P224" i="45"/>
  <c r="O224" i="45"/>
  <c r="P223" i="45"/>
  <c r="O223" i="45"/>
  <c r="P222" i="45"/>
  <c r="O222" i="45"/>
  <c r="P220" i="45"/>
  <c r="O220" i="45"/>
  <c r="P219" i="45"/>
  <c r="O219" i="45"/>
  <c r="P218" i="45"/>
  <c r="O218" i="45"/>
  <c r="P216" i="45"/>
  <c r="O216" i="45"/>
  <c r="P215" i="45"/>
  <c r="O215" i="45"/>
  <c r="P214" i="45"/>
  <c r="O214" i="45"/>
  <c r="P212" i="45"/>
  <c r="O212" i="45"/>
  <c r="P211" i="45"/>
  <c r="O211" i="45"/>
  <c r="P210" i="45"/>
  <c r="O210" i="45"/>
  <c r="P208" i="45"/>
  <c r="O208" i="45"/>
  <c r="P207" i="45"/>
  <c r="O207" i="45"/>
  <c r="P206" i="45"/>
  <c r="O206" i="45"/>
  <c r="P202" i="45"/>
  <c r="O202" i="45"/>
  <c r="P201" i="45"/>
  <c r="O201" i="45"/>
  <c r="P200" i="45"/>
  <c r="O200" i="45"/>
  <c r="P198" i="45"/>
  <c r="O198" i="45"/>
  <c r="P197" i="45"/>
  <c r="O197" i="45"/>
  <c r="P196" i="45"/>
  <c r="O196" i="45"/>
  <c r="P194" i="45"/>
  <c r="O194" i="45"/>
  <c r="P193" i="45"/>
  <c r="O193" i="45"/>
  <c r="P192" i="45"/>
  <c r="O192" i="45"/>
  <c r="P190" i="45"/>
  <c r="O190" i="45"/>
  <c r="P189" i="45"/>
  <c r="O189" i="45"/>
  <c r="P188" i="45"/>
  <c r="O188" i="45"/>
  <c r="P186" i="45"/>
  <c r="O186" i="45"/>
  <c r="P185" i="45"/>
  <c r="O185" i="45"/>
  <c r="P184" i="45"/>
  <c r="O184" i="45"/>
  <c r="P180" i="45"/>
  <c r="O180" i="45"/>
  <c r="P179" i="45"/>
  <c r="O179" i="45"/>
  <c r="P178" i="45"/>
  <c r="O178" i="45"/>
  <c r="P176" i="45"/>
  <c r="O176" i="45"/>
  <c r="P175" i="45"/>
  <c r="O175" i="45"/>
  <c r="P174" i="45"/>
  <c r="O174" i="45"/>
  <c r="P172" i="45"/>
  <c r="O172" i="45"/>
  <c r="P171" i="45"/>
  <c r="O171" i="45"/>
  <c r="P170" i="45"/>
  <c r="O170" i="45"/>
  <c r="O168" i="45"/>
  <c r="P168" i="45" s="1"/>
  <c r="O167" i="45"/>
  <c r="P167" i="45" s="1"/>
  <c r="O166" i="45"/>
  <c r="P166" i="45" s="1"/>
  <c r="O164" i="45"/>
  <c r="P164" i="45" s="1"/>
  <c r="O163" i="45"/>
  <c r="P163" i="45" s="1"/>
  <c r="O162" i="45"/>
  <c r="P162" i="45" s="1"/>
  <c r="O158" i="45"/>
  <c r="P158" i="45" s="1"/>
  <c r="O157" i="45"/>
  <c r="P157" i="45" s="1"/>
  <c r="O156" i="45"/>
  <c r="P156" i="45" s="1"/>
  <c r="O154" i="45"/>
  <c r="P154" i="45" s="1"/>
  <c r="O153" i="45"/>
  <c r="P153" i="45" s="1"/>
  <c r="O152" i="45"/>
  <c r="P152" i="45" s="1"/>
  <c r="O150" i="45"/>
  <c r="P150" i="45" s="1"/>
  <c r="O149" i="45"/>
  <c r="P149" i="45" s="1"/>
  <c r="O148" i="45"/>
  <c r="P148" i="45" s="1"/>
  <c r="O146" i="45"/>
  <c r="P146" i="45" s="1"/>
  <c r="O145" i="45"/>
  <c r="P145" i="45" s="1"/>
  <c r="O144" i="45"/>
  <c r="P144" i="45" s="1"/>
  <c r="O142" i="45"/>
  <c r="P142" i="45" s="1"/>
  <c r="O141" i="45"/>
  <c r="P141" i="45" s="1"/>
  <c r="O140" i="45"/>
  <c r="P140" i="45" s="1"/>
  <c r="O136" i="45"/>
  <c r="P136" i="45" s="1"/>
  <c r="O135" i="45"/>
  <c r="P135" i="45" s="1"/>
  <c r="O134" i="45"/>
  <c r="P134" i="45" s="1"/>
  <c r="O132" i="45"/>
  <c r="P132" i="45" s="1"/>
  <c r="O131" i="45"/>
  <c r="P131" i="45" s="1"/>
  <c r="O130" i="45"/>
  <c r="P130" i="45" s="1"/>
  <c r="O128" i="45"/>
  <c r="P128" i="45" s="1"/>
  <c r="O127" i="45"/>
  <c r="P127" i="45" s="1"/>
  <c r="O126" i="45"/>
  <c r="P126" i="45" s="1"/>
  <c r="O124" i="45"/>
  <c r="P124" i="45" s="1"/>
  <c r="O123" i="45"/>
  <c r="P123" i="45" s="1"/>
  <c r="O122" i="45"/>
  <c r="P122" i="45" s="1"/>
  <c r="O120" i="45"/>
  <c r="P120" i="45" s="1"/>
  <c r="O119" i="45"/>
  <c r="P119" i="45" s="1"/>
  <c r="O118" i="45"/>
  <c r="P118" i="45" s="1"/>
  <c r="O114" i="45"/>
  <c r="P114" i="45" s="1"/>
  <c r="O113" i="45"/>
  <c r="P113" i="45" s="1"/>
  <c r="O112" i="45"/>
  <c r="P112" i="45" s="1"/>
  <c r="O110" i="45"/>
  <c r="P110" i="45" s="1"/>
  <c r="O109" i="45"/>
  <c r="P109" i="45" s="1"/>
  <c r="O108" i="45"/>
  <c r="P108" i="45" s="1"/>
  <c r="O106" i="45"/>
  <c r="P106" i="45" s="1"/>
  <c r="O105" i="45"/>
  <c r="P105" i="45" s="1"/>
  <c r="O104" i="45"/>
  <c r="P104" i="45" s="1"/>
  <c r="O102" i="45"/>
  <c r="P102" i="45" s="1"/>
  <c r="O101" i="45"/>
  <c r="P101" i="45" s="1"/>
  <c r="O100" i="45"/>
  <c r="P100" i="45" s="1"/>
  <c r="O98" i="45"/>
  <c r="P98" i="45" s="1"/>
  <c r="O97" i="45"/>
  <c r="P97" i="45" s="1"/>
  <c r="O96" i="45"/>
  <c r="P96" i="45" s="1"/>
  <c r="O92" i="45"/>
  <c r="P92" i="45" s="1"/>
  <c r="O91" i="45"/>
  <c r="P91" i="45" s="1"/>
  <c r="O90" i="45"/>
  <c r="P90" i="45" s="1"/>
  <c r="O88" i="45"/>
  <c r="P88" i="45" s="1"/>
  <c r="O87" i="45"/>
  <c r="P87" i="45" s="1"/>
  <c r="O86" i="45"/>
  <c r="P86" i="45" s="1"/>
  <c r="O84" i="45"/>
  <c r="P84" i="45" s="1"/>
  <c r="O83" i="45"/>
  <c r="P83" i="45" s="1"/>
  <c r="O82" i="45"/>
  <c r="P82" i="45" s="1"/>
  <c r="O80" i="45"/>
  <c r="P80" i="45" s="1"/>
  <c r="O79" i="45"/>
  <c r="P79" i="45" s="1"/>
  <c r="O78" i="45"/>
  <c r="P78" i="45" s="1"/>
  <c r="O76" i="45"/>
  <c r="P76" i="45" s="1"/>
  <c r="O75" i="45"/>
  <c r="P75" i="45" s="1"/>
  <c r="O74" i="45"/>
  <c r="P74" i="45" s="1"/>
  <c r="O70" i="45"/>
  <c r="P70" i="45" s="1"/>
  <c r="O69" i="45"/>
  <c r="P69" i="45" s="1"/>
  <c r="O68" i="45"/>
  <c r="P68" i="45" s="1"/>
  <c r="O66" i="45"/>
  <c r="P66" i="45" s="1"/>
  <c r="O65" i="45"/>
  <c r="P65" i="45" s="1"/>
  <c r="O64" i="45"/>
  <c r="P64" i="45" s="1"/>
  <c r="O62" i="45"/>
  <c r="P62" i="45" s="1"/>
  <c r="O61" i="45"/>
  <c r="P61" i="45" s="1"/>
  <c r="O60" i="45"/>
  <c r="P60" i="45" s="1"/>
  <c r="O58" i="45"/>
  <c r="P58" i="45" s="1"/>
  <c r="O57" i="45"/>
  <c r="P57" i="45" s="1"/>
  <c r="O56" i="45"/>
  <c r="P56" i="45" s="1"/>
  <c r="O54" i="45"/>
  <c r="P54" i="45" s="1"/>
  <c r="O53" i="45"/>
  <c r="P53" i="45" s="1"/>
  <c r="O52" i="45"/>
  <c r="P52" i="45" s="1"/>
  <c r="O48" i="45"/>
  <c r="P48" i="45" s="1"/>
  <c r="O47" i="45"/>
  <c r="P47" i="45" s="1"/>
  <c r="O46" i="45"/>
  <c r="P46" i="45" s="1"/>
  <c r="O44" i="45"/>
  <c r="P44" i="45" s="1"/>
  <c r="O43" i="45"/>
  <c r="P43" i="45" s="1"/>
  <c r="O42" i="45"/>
  <c r="P42" i="45" s="1"/>
  <c r="O40" i="45"/>
  <c r="P40" i="45" s="1"/>
  <c r="O39" i="45"/>
  <c r="P39" i="45" s="1"/>
  <c r="O38" i="45"/>
  <c r="P38" i="45" s="1"/>
  <c r="O36" i="45"/>
  <c r="P36" i="45" s="1"/>
  <c r="O35" i="45"/>
  <c r="P35" i="45" s="1"/>
  <c r="O34" i="45"/>
  <c r="P34" i="45" s="1"/>
  <c r="O32" i="45"/>
  <c r="P32" i="45" s="1"/>
  <c r="O31" i="45"/>
  <c r="P31" i="45" s="1"/>
  <c r="O30" i="45"/>
  <c r="P30" i="45" s="1"/>
  <c r="O26" i="45"/>
  <c r="P26" i="45" s="1"/>
  <c r="O25" i="45"/>
  <c r="P25" i="45" s="1"/>
  <c r="O24" i="45"/>
  <c r="P24" i="45" s="1"/>
  <c r="O22" i="45"/>
  <c r="P22" i="45" s="1"/>
  <c r="O21" i="45"/>
  <c r="P21" i="45" s="1"/>
  <c r="O20" i="45"/>
  <c r="P20" i="45" s="1"/>
  <c r="O18" i="45"/>
  <c r="P18" i="45" s="1"/>
  <c r="O17" i="45"/>
  <c r="P17" i="45" s="1"/>
  <c r="O16" i="45"/>
  <c r="P16" i="45" s="1"/>
  <c r="O14" i="45"/>
  <c r="P14" i="45" s="1"/>
  <c r="O13" i="45"/>
  <c r="P13" i="45" s="1"/>
  <c r="O12" i="45"/>
  <c r="P12" i="45" s="1"/>
  <c r="O10" i="45"/>
  <c r="P10" i="45" s="1"/>
  <c r="O9" i="45"/>
  <c r="P9" i="45" s="1"/>
  <c r="O8" i="45"/>
  <c r="P8" i="45" s="1"/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7" i="42" s="1"/>
  <c r="B46" i="42"/>
  <c r="B48" i="42" s="1"/>
  <c r="B23" i="42"/>
  <c r="B24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4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3" i="33" s="1"/>
  <c r="B59" i="32"/>
  <c r="B59" i="31"/>
  <c r="B59" i="30"/>
  <c r="B58" i="28"/>
  <c r="F55" i="28"/>
  <c r="F57" i="28" s="1"/>
  <c r="D55" i="28"/>
  <c r="D57" i="28" s="1"/>
  <c r="B44" i="28"/>
  <c r="B32" i="28"/>
  <c r="B34" i="28" s="1"/>
  <c r="B22" i="28"/>
  <c r="B12" i="28"/>
  <c r="B14" i="28" s="1"/>
  <c r="B55" i="28"/>
  <c r="B57" i="28" s="1"/>
  <c r="F56" i="28"/>
  <c r="B56" i="28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B46" i="28"/>
  <c r="F45" i="28"/>
  <c r="D45" i="28"/>
  <c r="B45" i="28"/>
  <c r="F34" i="28"/>
  <c r="D34" i="28"/>
  <c r="F33" i="28"/>
  <c r="D33" i="28"/>
  <c r="B33" i="28"/>
  <c r="F24" i="28"/>
  <c r="D24" i="28"/>
  <c r="B24" i="28"/>
  <c r="F23" i="28"/>
  <c r="D23" i="28"/>
  <c r="B23" i="28"/>
  <c r="F14" i="28"/>
  <c r="D14" i="28"/>
  <c r="F13" i="28"/>
  <c r="D13" i="28"/>
  <c r="B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22" i="26"/>
  <c r="B23" i="26" s="1"/>
  <c r="B12" i="26"/>
  <c r="B55" i="26"/>
  <c r="B57" i="26" s="1"/>
  <c r="B54" i="26"/>
  <c r="B42" i="26"/>
  <c r="B30" i="26"/>
  <c r="B20" i="26"/>
  <c r="B9" i="26"/>
  <c r="B52" i="26"/>
  <c r="B43" i="26"/>
  <c r="B53" i="26" s="1"/>
  <c r="B31" i="26"/>
  <c r="B21" i="26"/>
  <c r="B41" i="26"/>
  <c r="B29" i="26"/>
  <c r="B19" i="26"/>
  <c r="B8" i="26"/>
  <c r="B51" i="26"/>
  <c r="B46" i="26"/>
  <c r="B34" i="26"/>
  <c r="B33" i="26"/>
  <c r="B24" i="26"/>
  <c r="B14" i="26"/>
  <c r="B13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13" i="35" l="1"/>
  <c r="B23" i="35"/>
  <c r="B34" i="35"/>
  <c r="B46" i="38"/>
  <c r="B46" i="33"/>
  <c r="B47" i="42"/>
  <c r="D56" i="26"/>
  <c r="F56" i="26"/>
  <c r="B56" i="35"/>
  <c r="B67" i="35"/>
  <c r="B23" i="38"/>
  <c r="B67" i="38"/>
  <c r="B56" i="26"/>
  <c r="D56" i="28"/>
  <c r="B23" i="33"/>
  <c r="B56" i="33"/>
  <c r="B58" i="33" s="1"/>
  <c r="B46" i="35"/>
  <c r="B13" i="38"/>
  <c r="B34" i="38"/>
  <c r="B56" i="38"/>
  <c r="B35" i="42"/>
  <c r="B68" i="42"/>
  <c r="B57" i="33"/>
  <c r="B14" i="33"/>
  <c r="B35" i="33"/>
  <c r="B14" i="42"/>
  <c r="B25" i="42"/>
  <c r="B58" i="42"/>
</calcChain>
</file>

<file path=xl/sharedStrings.xml><?xml version="1.0" encoding="utf-8"?>
<sst xmlns="http://schemas.openxmlformats.org/spreadsheetml/2006/main" count="2146" uniqueCount="130">
  <si>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</si>
  <si>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</si>
  <si>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</si>
  <si>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</si>
  <si>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</si>
  <si>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</si>
  <si>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</si>
  <si>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</si>
  <si>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</si>
  <si>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</si>
  <si>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</si>
  <si>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</si>
  <si>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</si>
  <si>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</si>
  <si>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</si>
  <si>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</si>
  <si>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</si>
  <si>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</si>
  <si>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</si>
  <si>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</si>
  <si>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</si>
  <si>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</si>
  <si>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</si>
  <si>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</si>
  <si>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</si>
  <si>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</si>
  <si>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</si>
  <si>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</si>
  <si>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</si>
  <si>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</si>
  <si>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</si>
  <si>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</si>
  <si>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</si>
  <si>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</si>
  <si>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</si>
  <si>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</si>
  <si>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</si>
  <si>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</si>
  <si>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</si>
  <si>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</si>
  <si>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</si>
  <si>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</si>
  <si>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</si>
  <si>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</si>
  <si>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</si>
  <si>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</si>
  <si>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</si>
  <si>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</si>
  <si>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</si>
  <si>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</si>
  <si>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</si>
  <si>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</si>
  <si>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</si>
  <si>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</si>
  <si>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</si>
  <si>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</si>
  <si>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</si>
  <si>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</si>
  <si>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</si>
  <si>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</si>
  <si>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</si>
  <si>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</si>
  <si>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</si>
  <si>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</si>
  <si>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</si>
  <si>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</si>
  <si>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</si>
  <si>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</si>
  <si>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</si>
  <si>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</si>
  <si>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</si>
  <si>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</si>
  <si>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</si>
  <si>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</si>
  <si>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</si>
  <si>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</si>
  <si>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</si>
  <si>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</si>
  <si>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</si>
  <si>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</si>
  <si>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</si>
  <si>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</si>
  <si>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</si>
  <si>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</si>
  <si>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</si>
  <si>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</si>
  <si>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</si>
  <si>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Total Table Games</t>
  </si>
  <si>
    <t>Local Share Assessment</t>
  </si>
  <si>
    <t>MOHEGAN SUN</t>
  </si>
  <si>
    <t>PARX</t>
  </si>
  <si>
    <t>PRESQUE ISLE</t>
  </si>
  <si>
    <t>THE MEADOWS</t>
  </si>
  <si>
    <t>MOUNT AIRY</t>
  </si>
  <si>
    <t>SANDS BETHLEHEM</t>
  </si>
  <si>
    <t>THE RIVERS</t>
  </si>
  <si>
    <t>TOTAL</t>
  </si>
  <si>
    <t>Gross Revenue</t>
  </si>
  <si>
    <t>PENN NATIONAL</t>
  </si>
  <si>
    <t>SUGARHOUSE</t>
  </si>
  <si>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</si>
  <si>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</si>
  <si>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State Tax Due </t>
    </r>
    <r>
      <rPr>
        <vertAlign val="superscript"/>
        <sz val="12"/>
        <rFont val="Calibri"/>
        <family val="2"/>
      </rPr>
      <t>2</t>
    </r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</si>
  <si>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</si>
  <si>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</si>
  <si>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</si>
  <si>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r>
      <t xml:space="preserve">Fully Automated Electronic Tables </t>
    </r>
    <r>
      <rPr>
        <b/>
        <vertAlign val="superscript"/>
        <sz val="12"/>
        <rFont val="Calibri"/>
        <family val="2"/>
      </rPr>
      <t>6</t>
    </r>
  </si>
  <si>
    <r>
      <t>1</t>
    </r>
    <r>
      <rPr>
        <i/>
        <sz val="12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</si>
  <si>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2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</si>
  <si>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2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</si>
  <si>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2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</si>
  <si>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 xml:space="preserve">6 </t>
    </r>
    <r>
      <rPr>
        <i/>
        <sz val="12"/>
        <rFont val="Calibri"/>
        <family val="2"/>
      </rPr>
      <t xml:space="preserve">Fully automated electronic gaming tables are electronic gaming tables that are determined to be playable or operable as a table game without the assistance or participation of a person acting on behalf of a casino.  </t>
    </r>
  </si>
  <si>
    <t>VALLEYFORGE</t>
  </si>
  <si>
    <t>HARRAH'S PHILADELPHIA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</si>
  <si>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</si>
  <si>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</si>
  <si>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</si>
  <si>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</si>
  <si>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</si>
  <si>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</si>
  <si>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</si>
  <si>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</si>
  <si>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</si>
  <si>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</si>
  <si>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</si>
  <si>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</si>
  <si>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FY 2012/2013 Total</t>
  </si>
  <si>
    <r>
      <t xml:space="preserve">2 </t>
    </r>
    <r>
      <rPr>
        <i/>
        <sz val="12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will decline 2% on the second anniversary of the introduction of table games at that particular facility.</t>
    </r>
  </si>
  <si>
    <t/>
  </si>
  <si>
    <t>NEMACOLIN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</si>
</sst>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  <numFmt numFmtId="167" formatCode="&quot;$&quot;#,##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b/>
      <u/>
      <sz val="12"/>
      <color indexed="8"/>
      <name val="Calibri"/>
      <family val="2"/>
    </font>
    <font>
      <i/>
      <vertAlign val="superscript"/>
      <sz val="12"/>
      <name val="Calibri"/>
      <family val="2"/>
    </font>
    <font>
      <i/>
      <sz val="12"/>
      <name val="Calibri"/>
      <family val="2"/>
    </font>
    <font>
      <sz val="12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49" fontId="0" fillId="0" borderId="0" xfId="0" applyNumberFormat="1" applyBorder="1" applyAlignment="1"/>
    <xf numFmtId="49" fontId="1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0" fillId="0" borderId="0" xfId="0" applyNumberFormat="1"/>
    <xf numFmtId="0" fontId="9" fillId="0" borderId="0" xfId="0" applyFont="1"/>
    <xf numFmtId="16" fontId="3" fillId="0" borderId="0" xfId="0" quotePrefix="1" applyNumberFormat="1" applyFont="1" applyBorder="1" applyAlignment="1">
      <alignment horizontal="center"/>
    </xf>
    <xf numFmtId="43" fontId="2" fillId="0" borderId="0" xfId="1" applyFont="1"/>
    <xf numFmtId="8" fontId="2" fillId="0" borderId="0" xfId="0" applyNumberFormat="1" applyFont="1"/>
    <xf numFmtId="43" fontId="0" fillId="0" borderId="0" xfId="1" applyFont="1"/>
    <xf numFmtId="0" fontId="9" fillId="0" borderId="0" xfId="0" quotePrefix="1" applyFont="1"/>
    <xf numFmtId="0" fontId="3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9" fillId="0" borderId="0" xfId="0" applyFont="1" applyAlignment="1">
      <alignment horizontal="left" indent="1"/>
    </xf>
    <xf numFmtId="8" fontId="10" fillId="0" borderId="0" xfId="0" applyNumberFormat="1" applyFont="1"/>
    <xf numFmtId="164" fontId="1" fillId="0" borderId="0" xfId="1" applyNumberFormat="1"/>
    <xf numFmtId="9" fontId="0" fillId="0" borderId="0" xfId="3" applyFont="1"/>
    <xf numFmtId="165" fontId="0" fillId="0" borderId="0" xfId="0" applyNumberForma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5" fillId="0" borderId="0" xfId="0" applyFont="1"/>
    <xf numFmtId="0" fontId="12" fillId="0" borderId="0" xfId="0" applyFont="1" applyAlignment="1">
      <alignment horizontal="left"/>
    </xf>
    <xf numFmtId="1" fontId="12" fillId="0" borderId="0" xfId="3" applyNumberFormat="1" applyFont="1" applyFill="1"/>
    <xf numFmtId="1" fontId="12" fillId="0" borderId="0" xfId="3" applyNumberFormat="1" applyFont="1"/>
    <xf numFmtId="0" fontId="12" fillId="0" borderId="0" xfId="0" applyFont="1"/>
    <xf numFmtId="0" fontId="11" fillId="0" borderId="0" xfId="0" applyFont="1" applyAlignment="1">
      <alignment horizontal="left" indent="1"/>
    </xf>
    <xf numFmtId="167" fontId="11" fillId="0" borderId="0" xfId="3" applyNumberFormat="1" applyFont="1" applyFill="1"/>
    <xf numFmtId="165" fontId="11" fillId="0" borderId="0" xfId="3" applyNumberFormat="1" applyFont="1"/>
    <xf numFmtId="166" fontId="11" fillId="0" borderId="0" xfId="3" applyNumberFormat="1" applyFont="1"/>
    <xf numFmtId="8" fontId="11" fillId="0" borderId="0" xfId="0" applyNumberFormat="1" applyFont="1"/>
    <xf numFmtId="166" fontId="11" fillId="0" borderId="0" xfId="3" applyNumberFormat="1" applyFont="1" applyAlignment="1">
      <alignment horizontal="right"/>
    </xf>
    <xf numFmtId="165" fontId="12" fillId="0" borderId="0" xfId="3" applyNumberFormat="1" applyFont="1"/>
    <xf numFmtId="167" fontId="15" fillId="0" borderId="0" xfId="0" applyNumberFormat="1" applyFont="1" applyFill="1"/>
    <xf numFmtId="1" fontId="11" fillId="0" borderId="0" xfId="3" applyNumberFormat="1" applyFont="1"/>
    <xf numFmtId="0" fontId="17" fillId="0" borderId="0" xfId="0" applyFont="1"/>
    <xf numFmtId="8" fontId="11" fillId="0" borderId="0" xfId="0" applyNumberFormat="1" applyFont="1" applyAlignment="1">
      <alignment horizontal="right"/>
    </xf>
    <xf numFmtId="37" fontId="11" fillId="0" borderId="0" xfId="2" applyNumberFormat="1" applyFont="1" applyAlignment="1">
      <alignment horizontal="right"/>
    </xf>
    <xf numFmtId="0" fontId="15" fillId="0" borderId="0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18" fillId="0" borderId="0" xfId="0" applyFont="1"/>
    <xf numFmtId="0" fontId="11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1" fontId="11" fillId="0" borderId="0" xfId="0" applyNumberFormat="1" applyFont="1"/>
    <xf numFmtId="3" fontId="12" fillId="0" borderId="0" xfId="3" applyNumberFormat="1" applyFont="1" applyFill="1"/>
    <xf numFmtId="43" fontId="11" fillId="0" borderId="0" xfId="1" applyFont="1" applyFill="1"/>
    <xf numFmtId="164" fontId="12" fillId="0" borderId="0" xfId="1" applyNumberFormat="1" applyFont="1" applyFill="1"/>
    <xf numFmtId="167" fontId="11" fillId="0" borderId="0" xfId="0" applyNumberFormat="1" applyFont="1"/>
    <xf numFmtId="167" fontId="11" fillId="0" borderId="0" xfId="3" applyNumberFormat="1" applyFont="1"/>
    <xf numFmtId="167" fontId="15" fillId="0" borderId="0" xfId="0" applyNumberFormat="1" applyFont="1"/>
    <xf numFmtId="0" fontId="0" fillId="0" borderId="0" xfId="0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76200</xdr:colOff>
      <xdr:row>1</xdr:row>
      <xdr:rowOff>219075</xdr:rowOff>
    </xdr:to>
    <xdr:pic>
      <xdr:nvPicPr>
        <xdr:cNvPr id="43009" name="Picture 1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43010" name="Picture 2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70"/>
      <c r="B1" s="70"/>
      <c r="C1" s="70"/>
      <c r="D1" s="70"/>
      <c r="E1" s="70"/>
      <c r="F1" s="70"/>
    </row>
    <row r="2" spans="1:11" ht="26.25" customHeight="1" x14ac:dyDescent="0.25">
      <c r="A2" s="71" t="s">
        <v>22</v>
      </c>
      <c r="B2" s="72"/>
      <c r="C2" s="72"/>
      <c r="D2" s="72"/>
      <c r="E2" s="72"/>
      <c r="F2" s="72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0"/>
      <c r="B1" s="70"/>
      <c r="C1" s="70"/>
      <c r="D1" s="70"/>
      <c r="E1" s="70"/>
      <c r="F1" s="70"/>
    </row>
    <row r="2" spans="1:11" ht="26.25" customHeight="1" x14ac:dyDescent="0.25">
      <c r="A2" s="71" t="s">
        <v>22</v>
      </c>
      <c r="B2" s="72"/>
      <c r="C2" s="72"/>
      <c r="D2" s="72"/>
      <c r="E2" s="72"/>
      <c r="F2" s="72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74" t="s">
        <v>40</v>
      </c>
      <c r="B42" s="75"/>
      <c r="C42" s="75"/>
      <c r="D42" s="75"/>
      <c r="E42" s="75"/>
      <c r="F42" s="75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0"/>
      <c r="B1" s="70"/>
      <c r="C1" s="70"/>
      <c r="D1" s="70"/>
      <c r="E1" s="70"/>
      <c r="F1" s="70"/>
    </row>
    <row r="2" spans="1:11" ht="26.25" customHeight="1" x14ac:dyDescent="0.25">
      <c r="A2" s="71" t="s">
        <v>22</v>
      </c>
      <c r="B2" s="72"/>
      <c r="C2" s="72"/>
      <c r="D2" s="72"/>
      <c r="E2" s="72"/>
      <c r="F2" s="72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74" t="s">
        <v>40</v>
      </c>
      <c r="B52" s="75"/>
      <c r="C52" s="75"/>
      <c r="D52" s="75"/>
      <c r="E52" s="75"/>
      <c r="F52" s="75"/>
    </row>
    <row r="53" spans="1:6" x14ac:dyDescent="0.2">
      <c r="A53" s="24" t="s">
        <v>34</v>
      </c>
    </row>
    <row r="54" spans="1:6" ht="26.25" customHeight="1" x14ac:dyDescent="0.2">
      <c r="A54" s="76" t="s">
        <v>43</v>
      </c>
      <c r="B54" s="76"/>
      <c r="C54" s="76"/>
      <c r="D54" s="76"/>
      <c r="E54" s="76"/>
      <c r="F54" s="76"/>
    </row>
  </sheetData>
  <mergeCells count="4">
    <mergeCell ref="A1:F1"/>
    <mergeCell ref="A2:F2"/>
    <mergeCell ref="A52:F52"/>
    <mergeCell ref="A54:F54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0"/>
      <c r="B1" s="70"/>
      <c r="C1" s="70"/>
      <c r="D1" s="70"/>
      <c r="E1" s="70"/>
      <c r="F1" s="70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4" t="s">
        <v>40</v>
      </c>
      <c r="B52" s="75"/>
      <c r="C52" s="75"/>
      <c r="D52" s="75"/>
      <c r="E52" s="75"/>
      <c r="F52" s="75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70"/>
      <c r="B1" s="70"/>
      <c r="C1" s="70"/>
      <c r="D1" s="70"/>
      <c r="E1" s="70"/>
      <c r="F1" s="70"/>
      <c r="G1" s="70"/>
      <c r="H1" s="70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74" t="s">
        <v>40</v>
      </c>
      <c r="B52" s="75"/>
      <c r="C52" s="75"/>
      <c r="D52" s="75"/>
      <c r="E52" s="75"/>
      <c r="F52" s="75"/>
      <c r="G52" s="75"/>
      <c r="H52" s="75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0"/>
      <c r="B1" s="70"/>
      <c r="C1" s="70"/>
      <c r="D1" s="70"/>
      <c r="E1" s="70"/>
      <c r="F1" s="70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4" t="s">
        <v>40</v>
      </c>
      <c r="B52" s="75"/>
      <c r="C52" s="75"/>
      <c r="D52" s="75"/>
      <c r="E52" s="75"/>
      <c r="F52" s="75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0"/>
      <c r="B1" s="70"/>
      <c r="C1" s="70"/>
      <c r="D1" s="70"/>
      <c r="E1" s="70"/>
      <c r="F1" s="70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4" t="s">
        <v>40</v>
      </c>
      <c r="B52" s="75"/>
      <c r="C52" s="75"/>
      <c r="D52" s="75"/>
      <c r="E52" s="75"/>
      <c r="F52" s="75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5" t="s">
        <v>51</v>
      </c>
      <c r="B38" s="75"/>
      <c r="C38" s="75"/>
      <c r="D38" s="75"/>
      <c r="E38" s="75"/>
      <c r="F38" s="75"/>
      <c r="G38" s="75"/>
      <c r="H38" s="75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75" t="s">
        <v>54</v>
      </c>
      <c r="B61" s="75"/>
      <c r="C61" s="75"/>
      <c r="D61" s="75"/>
      <c r="E61" s="75"/>
      <c r="F61" s="75"/>
      <c r="G61" s="75"/>
      <c r="H61" s="75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70"/>
      <c r="B1" s="70"/>
      <c r="C1" s="70"/>
      <c r="D1" s="70"/>
      <c r="E1" s="70"/>
      <c r="F1" s="70"/>
    </row>
    <row r="2" spans="1:7" ht="26.25" customHeight="1" x14ac:dyDescent="0.25">
      <c r="A2" s="71" t="s">
        <v>22</v>
      </c>
      <c r="B2" s="72"/>
      <c r="C2" s="72"/>
      <c r="D2" s="72"/>
      <c r="E2" s="72"/>
      <c r="F2" s="72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5" t="s">
        <v>51</v>
      </c>
      <c r="B38" s="75"/>
      <c r="C38" s="75"/>
      <c r="D38" s="75"/>
      <c r="E38" s="75"/>
      <c r="F38" s="75"/>
      <c r="G38" s="75"/>
      <c r="H38" s="75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5" t="s">
        <v>51</v>
      </c>
      <c r="B61" s="75"/>
      <c r="C61" s="75"/>
      <c r="D61" s="75"/>
      <c r="E61" s="75"/>
      <c r="F61" s="75"/>
      <c r="G61" s="75"/>
      <c r="H61" s="75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5" t="s">
        <v>51</v>
      </c>
      <c r="B38" s="75"/>
      <c r="C38" s="75"/>
      <c r="D38" s="75"/>
      <c r="E38" s="75"/>
      <c r="F38" s="75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5" t="s">
        <v>51</v>
      </c>
      <c r="B61" s="75"/>
      <c r="C61" s="75"/>
      <c r="D61" s="75"/>
      <c r="E61" s="75"/>
      <c r="F61" s="75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5" t="s">
        <v>51</v>
      </c>
      <c r="B38" s="75"/>
      <c r="C38" s="75"/>
      <c r="D38" s="75"/>
      <c r="E38" s="75"/>
      <c r="F38" s="75"/>
      <c r="G38" s="75"/>
      <c r="H38" s="75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5" t="s">
        <v>51</v>
      </c>
      <c r="B61" s="75"/>
      <c r="C61" s="75"/>
      <c r="D61" s="75"/>
      <c r="E61" s="75"/>
      <c r="F61" s="75"/>
      <c r="G61" s="75"/>
      <c r="H61" s="75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5" t="s">
        <v>51</v>
      </c>
      <c r="B62" s="75"/>
      <c r="C62" s="75"/>
      <c r="D62" s="75"/>
      <c r="E62" s="75"/>
      <c r="F62" s="75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5" t="s">
        <v>51</v>
      </c>
      <c r="B62" s="75"/>
      <c r="C62" s="75"/>
      <c r="D62" s="75"/>
      <c r="E62" s="75"/>
      <c r="F62" s="75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70"/>
      <c r="B1" s="70"/>
      <c r="C1" s="70"/>
      <c r="D1" s="70"/>
      <c r="E1" s="70"/>
      <c r="F1" s="70"/>
    </row>
    <row r="2" spans="1:7" ht="26.25" customHeight="1" x14ac:dyDescent="0.25">
      <c r="A2" s="71" t="s">
        <v>22</v>
      </c>
      <c r="B2" s="72"/>
      <c r="C2" s="72"/>
      <c r="D2" s="72"/>
      <c r="E2" s="72"/>
      <c r="F2" s="72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5" t="s">
        <v>51</v>
      </c>
      <c r="B39" s="75"/>
      <c r="C39" s="75"/>
      <c r="D39" s="75"/>
      <c r="E39" s="75"/>
      <c r="F39" s="75"/>
      <c r="G39" s="75"/>
      <c r="H39" s="75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75" t="s">
        <v>51</v>
      </c>
      <c r="B72" s="75"/>
      <c r="C72" s="75"/>
      <c r="D72" s="75"/>
      <c r="E72" s="75"/>
      <c r="F72" s="75"/>
      <c r="G72" s="75"/>
      <c r="H72" s="75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4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75" t="s">
        <v>51</v>
      </c>
      <c r="B72" s="75"/>
      <c r="C72" s="75"/>
      <c r="D72" s="75"/>
      <c r="E72" s="75"/>
      <c r="F72" s="75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75" t="s">
        <v>51</v>
      </c>
      <c r="B72" s="75"/>
      <c r="C72" s="75"/>
      <c r="D72" s="75"/>
      <c r="E72" s="75"/>
      <c r="F72" s="75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5" t="s">
        <v>51</v>
      </c>
      <c r="B72" s="75"/>
      <c r="C72" s="75"/>
      <c r="D72" s="75"/>
      <c r="E72" s="75"/>
      <c r="F72" s="75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6"/>
  <sheetViews>
    <sheetView tabSelected="1" zoomScale="85" zoomScaleNormal="85" zoomScaleSheetLayoutView="80" workbookViewId="0">
      <pane xSplit="1" ySplit="4" topLeftCell="J5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5.75" x14ac:dyDescent="0.25"/>
  <cols>
    <col min="1" max="1" width="37.85546875" style="35" bestFit="1" customWidth="1"/>
    <col min="2" max="8" width="20.7109375" style="35" customWidth="1"/>
    <col min="9" max="9" width="20.7109375" style="62" customWidth="1"/>
    <col min="10" max="13" width="20.7109375" style="35" customWidth="1"/>
    <col min="14" max="14" width="2.85546875" style="35" customWidth="1"/>
    <col min="15" max="16" width="20.7109375" style="35" customWidth="1"/>
    <col min="17" max="18" width="16.28515625" style="35" bestFit="1" customWidth="1"/>
    <col min="19" max="16384" width="9.140625" style="35"/>
  </cols>
  <sheetData>
    <row r="1" spans="1:16" ht="58.5" customHeight="1" x14ac:dyDescent="0.25">
      <c r="A1" s="34"/>
      <c r="B1" s="34"/>
      <c r="C1" s="34"/>
      <c r="D1" s="34"/>
      <c r="E1" s="34"/>
      <c r="F1" s="34"/>
      <c r="G1" s="34"/>
      <c r="H1" s="34"/>
      <c r="I1" s="61"/>
      <c r="J1" s="34"/>
      <c r="K1" s="34"/>
      <c r="L1" s="34"/>
      <c r="M1" s="34"/>
      <c r="N1" s="34"/>
      <c r="O1" s="34"/>
      <c r="P1" s="34"/>
    </row>
    <row r="2" spans="1:16" ht="18.75" customHeight="1" x14ac:dyDescent="0.25"/>
    <row r="3" spans="1:16" ht="32.25" customHeight="1" x14ac:dyDescent="0.25">
      <c r="A3" s="78" t="s">
        <v>100</v>
      </c>
      <c r="B3" s="78"/>
      <c r="C3" s="78"/>
      <c r="D3" s="78"/>
      <c r="E3" s="78"/>
      <c r="F3" s="78"/>
      <c r="G3" s="78"/>
      <c r="H3" s="78" t="s">
        <v>101</v>
      </c>
      <c r="I3" s="78"/>
      <c r="J3" s="78"/>
      <c r="K3" s="78"/>
      <c r="L3" s="78"/>
      <c r="M3" s="78"/>
      <c r="N3" s="78"/>
    </row>
    <row r="4" spans="1:16" s="58" customFormat="1" ht="23.25" customHeight="1" x14ac:dyDescent="0.25">
      <c r="A4" s="56"/>
      <c r="B4" s="57" t="s">
        <v>114</v>
      </c>
      <c r="C4" s="57" t="s">
        <v>115</v>
      </c>
      <c r="D4" s="57" t="s">
        <v>116</v>
      </c>
      <c r="E4" s="57" t="s">
        <v>117</v>
      </c>
      <c r="F4" s="57" t="s">
        <v>118</v>
      </c>
      <c r="G4" s="57" t="s">
        <v>119</v>
      </c>
      <c r="H4" s="57" t="s">
        <v>120</v>
      </c>
      <c r="I4" s="57" t="s">
        <v>121</v>
      </c>
      <c r="J4" s="57" t="s">
        <v>122</v>
      </c>
      <c r="K4" s="57" t="s">
        <v>123</v>
      </c>
      <c r="L4" s="57" t="s">
        <v>124</v>
      </c>
      <c r="M4" s="57" t="s">
        <v>125</v>
      </c>
      <c r="N4" s="57"/>
      <c r="O4" s="57" t="s">
        <v>126</v>
      </c>
      <c r="P4" s="57" t="s">
        <v>85</v>
      </c>
    </row>
    <row r="5" spans="1:16" s="38" customForma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5">
      <c r="A6" s="39" t="s">
        <v>89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s="43" customFormat="1" x14ac:dyDescent="0.25">
      <c r="A7" s="40" t="s">
        <v>87</v>
      </c>
      <c r="B7" s="41">
        <v>84</v>
      </c>
      <c r="C7" s="41">
        <v>84</v>
      </c>
      <c r="D7" s="41">
        <v>84</v>
      </c>
      <c r="E7" s="41">
        <v>84</v>
      </c>
      <c r="F7" s="41">
        <v>84</v>
      </c>
      <c r="G7" s="41">
        <v>84</v>
      </c>
      <c r="H7" s="41">
        <v>84</v>
      </c>
      <c r="I7" s="41">
        <v>84</v>
      </c>
      <c r="J7" s="41">
        <v>84</v>
      </c>
      <c r="K7" s="41">
        <v>84</v>
      </c>
      <c r="L7" s="41">
        <v>84</v>
      </c>
      <c r="M7" s="41">
        <v>84</v>
      </c>
      <c r="N7" s="42"/>
      <c r="O7" s="41"/>
      <c r="P7" s="41"/>
    </row>
    <row r="8" spans="1:16" x14ac:dyDescent="0.25">
      <c r="A8" s="44" t="s">
        <v>97</v>
      </c>
      <c r="B8" s="45">
        <v>3804797.82</v>
      </c>
      <c r="C8" s="45">
        <v>3795030.0900000003</v>
      </c>
      <c r="D8" s="45">
        <v>3347794.8200000003</v>
      </c>
      <c r="E8" s="45">
        <v>3660879.6100000003</v>
      </c>
      <c r="F8" s="45">
        <v>3603009.1100000003</v>
      </c>
      <c r="G8" s="45">
        <v>3319632.4900000007</v>
      </c>
      <c r="H8" s="45">
        <v>3591762.13</v>
      </c>
      <c r="I8" s="45">
        <v>3290559.58</v>
      </c>
      <c r="J8" s="45">
        <v>3552598.3800000004</v>
      </c>
      <c r="K8" s="45">
        <v>3513736.1</v>
      </c>
      <c r="L8" s="45">
        <v>3755088.58</v>
      </c>
      <c r="M8" s="45">
        <v>3688617.24</v>
      </c>
      <c r="N8" s="46"/>
      <c r="O8" s="45">
        <f>SUM(B8:M8)</f>
        <v>42923505.949999996</v>
      </c>
      <c r="P8" s="45">
        <f>O8+81692109.21</f>
        <v>124615615.16</v>
      </c>
    </row>
    <row r="9" spans="1:16" ht="18" x14ac:dyDescent="0.25">
      <c r="A9" s="44" t="s">
        <v>102</v>
      </c>
      <c r="B9" s="45">
        <v>488241.11</v>
      </c>
      <c r="C9" s="45">
        <v>455403.61</v>
      </c>
      <c r="D9" s="45">
        <v>401735.37000000005</v>
      </c>
      <c r="E9" s="45">
        <v>439305.56</v>
      </c>
      <c r="F9" s="45">
        <v>432361.1</v>
      </c>
      <c r="G9" s="45">
        <v>398355.91000000003</v>
      </c>
      <c r="H9" s="45">
        <v>431011.45999999996</v>
      </c>
      <c r="I9" s="45">
        <v>394867.15</v>
      </c>
      <c r="J9" s="45">
        <v>426311.81</v>
      </c>
      <c r="K9" s="45">
        <v>421648.34</v>
      </c>
      <c r="L9" s="45">
        <v>450610.63</v>
      </c>
      <c r="M9" s="45">
        <v>442634.07</v>
      </c>
      <c r="N9" s="47"/>
      <c r="O9" s="45">
        <f>SUM(B9:M9)</f>
        <v>5182486.12</v>
      </c>
      <c r="P9" s="45">
        <f>O9+11436895.35</f>
        <v>16619381.469999999</v>
      </c>
    </row>
    <row r="10" spans="1:16" x14ac:dyDescent="0.25">
      <c r="A10" s="44" t="s">
        <v>88</v>
      </c>
      <c r="B10" s="45">
        <v>76095.960000000006</v>
      </c>
      <c r="C10" s="45">
        <v>75900.600000000006</v>
      </c>
      <c r="D10" s="45">
        <v>66955.899999999994</v>
      </c>
      <c r="E10" s="45">
        <v>73217.590000000011</v>
      </c>
      <c r="F10" s="45">
        <v>72060.19</v>
      </c>
      <c r="G10" s="45">
        <v>66392.66</v>
      </c>
      <c r="H10" s="45">
        <v>71835.25</v>
      </c>
      <c r="I10" s="45">
        <v>65811.19</v>
      </c>
      <c r="J10" s="45">
        <v>71051.98</v>
      </c>
      <c r="K10" s="45">
        <v>70274.720000000001</v>
      </c>
      <c r="L10" s="45">
        <v>75101.76999999999</v>
      </c>
      <c r="M10" s="45">
        <v>73772.350000000006</v>
      </c>
      <c r="N10" s="47"/>
      <c r="O10" s="45">
        <f>SUM(B10:M10)</f>
        <v>858470.16</v>
      </c>
      <c r="P10" s="45">
        <f>O10+1633842.23</f>
        <v>2492312.39</v>
      </c>
    </row>
    <row r="11" spans="1:16" s="43" customFormat="1" ht="18" x14ac:dyDescent="0.25">
      <c r="A11" s="40" t="s">
        <v>103</v>
      </c>
      <c r="B11" s="41">
        <v>18</v>
      </c>
      <c r="C11" s="41">
        <v>18</v>
      </c>
      <c r="D11" s="41">
        <v>18</v>
      </c>
      <c r="E11" s="41">
        <v>18</v>
      </c>
      <c r="F11" s="41">
        <v>18</v>
      </c>
      <c r="G11" s="41">
        <v>18</v>
      </c>
      <c r="H11" s="41">
        <v>18</v>
      </c>
      <c r="I11" s="41">
        <v>18</v>
      </c>
      <c r="J11" s="41">
        <v>18</v>
      </c>
      <c r="K11" s="41">
        <v>18</v>
      </c>
      <c r="L11" s="41">
        <v>18</v>
      </c>
      <c r="M11" s="41">
        <v>18</v>
      </c>
      <c r="N11" s="39"/>
      <c r="O11" s="41"/>
      <c r="P11" s="41"/>
    </row>
    <row r="12" spans="1:16" x14ac:dyDescent="0.25">
      <c r="A12" s="44" t="s">
        <v>97</v>
      </c>
      <c r="B12" s="45">
        <v>330266</v>
      </c>
      <c r="C12" s="45">
        <v>311752</v>
      </c>
      <c r="D12" s="45">
        <v>308200</v>
      </c>
      <c r="E12" s="45">
        <v>325685</v>
      </c>
      <c r="F12" s="45">
        <v>358927</v>
      </c>
      <c r="G12" s="45">
        <v>385254</v>
      </c>
      <c r="H12" s="45">
        <v>382060</v>
      </c>
      <c r="I12" s="45">
        <v>391491</v>
      </c>
      <c r="J12" s="45">
        <v>358084</v>
      </c>
      <c r="K12" s="45">
        <v>319807</v>
      </c>
      <c r="L12" s="45">
        <v>285708</v>
      </c>
      <c r="M12" s="45">
        <v>295054</v>
      </c>
      <c r="N12" s="48"/>
      <c r="O12" s="45">
        <f>SUM(B12:M12)</f>
        <v>4052288</v>
      </c>
      <c r="P12" s="45">
        <f>O12+8205239.2</f>
        <v>12257527.199999999</v>
      </c>
    </row>
    <row r="13" spans="1:16" s="43" customFormat="1" ht="18" x14ac:dyDescent="0.25">
      <c r="A13" s="44" t="s">
        <v>102</v>
      </c>
      <c r="B13" s="45">
        <v>42058.3</v>
      </c>
      <c r="C13" s="45">
        <v>37410.239999999998</v>
      </c>
      <c r="D13" s="45">
        <v>36984</v>
      </c>
      <c r="E13" s="45">
        <v>39082.200000000004</v>
      </c>
      <c r="F13" s="45">
        <v>43071.24</v>
      </c>
      <c r="G13" s="45">
        <v>46230.48</v>
      </c>
      <c r="H13" s="45">
        <v>45847.199999999997</v>
      </c>
      <c r="I13" s="45">
        <v>46978.92</v>
      </c>
      <c r="J13" s="45">
        <v>42970.080000000002</v>
      </c>
      <c r="K13" s="45">
        <v>38376.840000000004</v>
      </c>
      <c r="L13" s="45">
        <v>34284.959999999999</v>
      </c>
      <c r="M13" s="45">
        <v>35406.479999999996</v>
      </c>
      <c r="N13" s="39"/>
      <c r="O13" s="45">
        <f>SUM(B13:M13)</f>
        <v>488700.94000000006</v>
      </c>
      <c r="P13" s="45">
        <f>O13+1148733.48</f>
        <v>1637434.42</v>
      </c>
    </row>
    <row r="14" spans="1:16" x14ac:dyDescent="0.25">
      <c r="A14" s="44" t="s">
        <v>88</v>
      </c>
      <c r="B14" s="45">
        <v>6605.3200000000006</v>
      </c>
      <c r="C14" s="45">
        <v>6235.0399999999991</v>
      </c>
      <c r="D14" s="45">
        <v>6164</v>
      </c>
      <c r="E14" s="45">
        <v>6513.7</v>
      </c>
      <c r="F14" s="45">
        <v>7178.54</v>
      </c>
      <c r="G14" s="45">
        <v>7705.08</v>
      </c>
      <c r="H14" s="45">
        <v>7641.2</v>
      </c>
      <c r="I14" s="45">
        <v>7829.8200000000006</v>
      </c>
      <c r="J14" s="45">
        <v>7161.68</v>
      </c>
      <c r="K14" s="45">
        <v>6396.14</v>
      </c>
      <c r="L14" s="45">
        <v>5714.16</v>
      </c>
      <c r="M14" s="45">
        <v>5901.08</v>
      </c>
      <c r="N14" s="48"/>
      <c r="O14" s="45">
        <f>SUM(B14:M14)</f>
        <v>81045.760000000009</v>
      </c>
      <c r="P14" s="45">
        <f>O14+164104.78</f>
        <v>245150.54</v>
      </c>
    </row>
    <row r="15" spans="1:16" s="43" customFormat="1" ht="18" x14ac:dyDescent="0.25">
      <c r="A15" s="40" t="s">
        <v>104</v>
      </c>
      <c r="B15" s="41">
        <v>66</v>
      </c>
      <c r="C15" s="41">
        <v>66</v>
      </c>
      <c r="D15" s="41">
        <v>66</v>
      </c>
      <c r="E15" s="41">
        <v>66</v>
      </c>
      <c r="F15" s="41">
        <v>66</v>
      </c>
      <c r="G15" s="41">
        <v>66</v>
      </c>
      <c r="H15" s="41">
        <v>66</v>
      </c>
      <c r="I15" s="41">
        <v>66</v>
      </c>
      <c r="J15" s="41">
        <v>66</v>
      </c>
      <c r="K15" s="41">
        <v>66</v>
      </c>
      <c r="L15" s="41">
        <v>66</v>
      </c>
      <c r="M15" s="41">
        <v>66</v>
      </c>
      <c r="N15" s="39"/>
      <c r="O15" s="41"/>
      <c r="P15" s="41"/>
    </row>
    <row r="16" spans="1:16" x14ac:dyDescent="0.25">
      <c r="A16" s="44" t="s">
        <v>97</v>
      </c>
      <c r="B16" s="45">
        <v>3474531.82</v>
      </c>
      <c r="C16" s="45">
        <v>3483278.0900000003</v>
      </c>
      <c r="D16" s="45">
        <v>3039594.8200000003</v>
      </c>
      <c r="E16" s="45">
        <v>3335194.6100000003</v>
      </c>
      <c r="F16" s="45">
        <v>3244082.1100000003</v>
      </c>
      <c r="G16" s="45">
        <v>2934378.4899999998</v>
      </c>
      <c r="H16" s="45">
        <v>3209702.13</v>
      </c>
      <c r="I16" s="45">
        <v>2899068.58</v>
      </c>
      <c r="J16" s="45">
        <v>3194514.3800000004</v>
      </c>
      <c r="K16" s="45">
        <v>3193929.1</v>
      </c>
      <c r="L16" s="45">
        <v>3469380.58</v>
      </c>
      <c r="M16" s="45">
        <v>3393563.24</v>
      </c>
      <c r="N16" s="49"/>
      <c r="O16" s="45">
        <f t="shared" ref="O16:O26" si="0">SUM(B16:M16)</f>
        <v>38871217.950000003</v>
      </c>
      <c r="P16" s="45">
        <f>O16+73486870.01</f>
        <v>112358087.96000001</v>
      </c>
    </row>
    <row r="17" spans="1:16" s="43" customFormat="1" ht="18" x14ac:dyDescent="0.25">
      <c r="A17" s="44" t="s">
        <v>102</v>
      </c>
      <c r="B17" s="45">
        <v>446182.81</v>
      </c>
      <c r="C17" s="45">
        <v>417993.37</v>
      </c>
      <c r="D17" s="45">
        <v>364751.37</v>
      </c>
      <c r="E17" s="45">
        <v>400223.36</v>
      </c>
      <c r="F17" s="45">
        <v>389289.86000000004</v>
      </c>
      <c r="G17" s="45">
        <v>352125.43</v>
      </c>
      <c r="H17" s="45">
        <v>385164.26</v>
      </c>
      <c r="I17" s="45">
        <v>347888.23</v>
      </c>
      <c r="J17" s="45">
        <v>383341.73</v>
      </c>
      <c r="K17" s="45">
        <v>383271.5</v>
      </c>
      <c r="L17" s="45">
        <v>416325.67000000004</v>
      </c>
      <c r="M17" s="45">
        <v>407227.59</v>
      </c>
      <c r="N17" s="39"/>
      <c r="O17" s="45">
        <f t="shared" si="0"/>
        <v>4693785.18</v>
      </c>
      <c r="P17" s="45">
        <f>O17+10288161.87</f>
        <v>14981947.049999999</v>
      </c>
    </row>
    <row r="18" spans="1:16" x14ac:dyDescent="0.25">
      <c r="A18" s="44" t="s">
        <v>88</v>
      </c>
      <c r="B18" s="45">
        <v>69490.64</v>
      </c>
      <c r="C18" s="45">
        <v>69665.56</v>
      </c>
      <c r="D18" s="45">
        <v>60791.9</v>
      </c>
      <c r="E18" s="45">
        <v>66703.89</v>
      </c>
      <c r="F18" s="45">
        <v>64881.65</v>
      </c>
      <c r="G18" s="45">
        <v>58687.58</v>
      </c>
      <c r="H18" s="45">
        <v>64194.05</v>
      </c>
      <c r="I18" s="45">
        <v>57981.37</v>
      </c>
      <c r="J18" s="45">
        <v>63890.3</v>
      </c>
      <c r="K18" s="45">
        <v>63878.580000000009</v>
      </c>
      <c r="L18" s="45">
        <v>69387.61</v>
      </c>
      <c r="M18" s="45">
        <v>67871.27</v>
      </c>
      <c r="N18" s="47"/>
      <c r="O18" s="45">
        <f t="shared" si="0"/>
        <v>777424.4</v>
      </c>
      <c r="P18" s="45">
        <f>O18+1469737.45</f>
        <v>2247161.85</v>
      </c>
    </row>
    <row r="19" spans="1:16" ht="18" x14ac:dyDescent="0.25">
      <c r="A19" s="40" t="s">
        <v>105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39"/>
      <c r="O19" s="41"/>
      <c r="P19" s="41"/>
    </row>
    <row r="20" spans="1:16" x14ac:dyDescent="0.25">
      <c r="A20" s="44" t="s">
        <v>97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39"/>
      <c r="O20" s="45">
        <f t="shared" si="0"/>
        <v>0</v>
      </c>
      <c r="P20" s="45">
        <f>O20+0</f>
        <v>0</v>
      </c>
    </row>
    <row r="21" spans="1:16" s="43" customFormat="1" ht="18" x14ac:dyDescent="0.25">
      <c r="A21" s="44" t="s">
        <v>102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2"/>
      <c r="O21" s="45">
        <f t="shared" si="0"/>
        <v>0</v>
      </c>
      <c r="P21" s="45">
        <f>O21+0</f>
        <v>0</v>
      </c>
    </row>
    <row r="22" spans="1:16" s="43" customFormat="1" x14ac:dyDescent="0.25">
      <c r="A22" s="44" t="s">
        <v>88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50"/>
      <c r="O22" s="45">
        <f t="shared" si="0"/>
        <v>0</v>
      </c>
      <c r="P22" s="45">
        <f>O22+0</f>
        <v>0</v>
      </c>
    </row>
    <row r="23" spans="1:16" ht="18" x14ac:dyDescent="0.25">
      <c r="A23" s="40" t="s">
        <v>106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7"/>
      <c r="O23" s="41"/>
      <c r="P23" s="41"/>
    </row>
    <row r="24" spans="1:16" x14ac:dyDescent="0.25">
      <c r="A24" s="44" t="s">
        <v>97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7"/>
      <c r="O24" s="45">
        <f t="shared" si="0"/>
        <v>0</v>
      </c>
      <c r="P24" s="45">
        <f>O24+0</f>
        <v>0</v>
      </c>
    </row>
    <row r="25" spans="1:16" ht="18" x14ac:dyDescent="0.25">
      <c r="A25" s="44" t="s">
        <v>102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9"/>
      <c r="O25" s="45">
        <f t="shared" si="0"/>
        <v>0</v>
      </c>
      <c r="P25" s="45">
        <f>O25+0</f>
        <v>0</v>
      </c>
    </row>
    <row r="26" spans="1:16" x14ac:dyDescent="0.25">
      <c r="A26" s="44" t="s">
        <v>88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8"/>
      <c r="O26" s="45">
        <f t="shared" si="0"/>
        <v>0</v>
      </c>
      <c r="P26" s="45">
        <f>O26+0</f>
        <v>0</v>
      </c>
    </row>
    <row r="27" spans="1:16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9"/>
      <c r="O27" s="45"/>
      <c r="P27" s="45"/>
    </row>
    <row r="28" spans="1:16" x14ac:dyDescent="0.25">
      <c r="A28" s="39" t="s">
        <v>90</v>
      </c>
      <c r="B28" s="45"/>
      <c r="C28" s="45"/>
      <c r="D28" s="45"/>
      <c r="E28" s="51"/>
      <c r="F28" s="51"/>
      <c r="G28" s="51"/>
      <c r="H28" s="51"/>
      <c r="I28" s="51"/>
      <c r="J28" s="51"/>
      <c r="K28" s="45"/>
      <c r="L28" s="45"/>
      <c r="M28" s="45"/>
      <c r="N28" s="48"/>
      <c r="O28" s="51"/>
      <c r="P28" s="51"/>
    </row>
    <row r="29" spans="1:16" x14ac:dyDescent="0.25">
      <c r="A29" s="40" t="s">
        <v>87</v>
      </c>
      <c r="B29" s="41">
        <v>181.5</v>
      </c>
      <c r="C29" s="41">
        <v>166.8</v>
      </c>
      <c r="D29" s="41">
        <v>163</v>
      </c>
      <c r="E29" s="41">
        <v>163</v>
      </c>
      <c r="F29" s="41">
        <v>163</v>
      </c>
      <c r="G29" s="41">
        <v>163</v>
      </c>
      <c r="H29" s="41">
        <v>163</v>
      </c>
      <c r="I29" s="41">
        <v>163</v>
      </c>
      <c r="J29" s="41">
        <v>163</v>
      </c>
      <c r="K29" s="41">
        <v>164.2</v>
      </c>
      <c r="L29" s="41">
        <v>165.2</v>
      </c>
      <c r="M29" s="41">
        <v>166</v>
      </c>
      <c r="N29" s="39"/>
      <c r="O29" s="41"/>
      <c r="P29" s="41"/>
    </row>
    <row r="30" spans="1:16" x14ac:dyDescent="0.25">
      <c r="A30" s="44" t="s">
        <v>97</v>
      </c>
      <c r="B30" s="45">
        <v>7895981.370000001</v>
      </c>
      <c r="C30" s="45">
        <v>8534016.5700000003</v>
      </c>
      <c r="D30" s="45">
        <v>9334179.8599999994</v>
      </c>
      <c r="E30" s="45">
        <v>8311696.8599999994</v>
      </c>
      <c r="F30" s="45">
        <v>8099515.5700000003</v>
      </c>
      <c r="G30" s="45">
        <v>9466900.3000000007</v>
      </c>
      <c r="H30" s="45">
        <v>9942524.5099999998</v>
      </c>
      <c r="I30" s="45">
        <v>8200728.0099999998</v>
      </c>
      <c r="J30" s="45">
        <v>11137386.310000001</v>
      </c>
      <c r="K30" s="45">
        <v>10153193.140000001</v>
      </c>
      <c r="L30" s="45">
        <v>10128410.16</v>
      </c>
      <c r="M30" s="45">
        <v>9103451.75</v>
      </c>
      <c r="N30" s="48"/>
      <c r="O30" s="45">
        <f>SUM(B30:M30)</f>
        <v>110307984.41</v>
      </c>
      <c r="P30" s="45">
        <f>O30+207249725.01</f>
        <v>317557709.41999996</v>
      </c>
    </row>
    <row r="31" spans="1:16" ht="18" x14ac:dyDescent="0.25">
      <c r="A31" s="44" t="s">
        <v>102</v>
      </c>
      <c r="B31" s="45">
        <v>1101347.26</v>
      </c>
      <c r="C31" s="45">
        <v>1100718.8399999999</v>
      </c>
      <c r="D31" s="45">
        <v>1190249.02</v>
      </c>
      <c r="E31" s="45">
        <v>1085110.02</v>
      </c>
      <c r="F31" s="45">
        <v>1048161.3699999999</v>
      </c>
      <c r="G31" s="45">
        <v>1221603.1499999999</v>
      </c>
      <c r="H31" s="45">
        <v>1284033.73</v>
      </c>
      <c r="I31" s="45">
        <v>1081229.7799999998</v>
      </c>
      <c r="J31" s="45">
        <v>1446981.77</v>
      </c>
      <c r="K31" s="45">
        <v>1307162.28</v>
      </c>
      <c r="L31" s="45">
        <v>1299367.97</v>
      </c>
      <c r="M31" s="45">
        <v>1149100.71</v>
      </c>
      <c r="N31" s="39"/>
      <c r="O31" s="45">
        <f>SUM(B31:M31)</f>
        <v>14315065.899999999</v>
      </c>
      <c r="P31" s="45">
        <f>O31+30147084.29</f>
        <v>44462150.189999998</v>
      </c>
    </row>
    <row r="32" spans="1:16" x14ac:dyDescent="0.25">
      <c r="A32" s="44" t="s">
        <v>88</v>
      </c>
      <c r="B32" s="45">
        <v>157919.65000000002</v>
      </c>
      <c r="C32" s="45">
        <v>170680.34</v>
      </c>
      <c r="D32" s="45">
        <v>186683.61000000002</v>
      </c>
      <c r="E32" s="45">
        <v>166233.95000000001</v>
      </c>
      <c r="F32" s="45">
        <v>161990.32</v>
      </c>
      <c r="G32" s="45">
        <v>189338.02000000002</v>
      </c>
      <c r="H32" s="45">
        <v>198850.5</v>
      </c>
      <c r="I32" s="45">
        <v>164014.58000000002</v>
      </c>
      <c r="J32" s="45">
        <v>222747.74</v>
      </c>
      <c r="K32" s="45">
        <v>203063.88000000003</v>
      </c>
      <c r="L32" s="45">
        <v>202568.22000000003</v>
      </c>
      <c r="M32" s="45">
        <v>182069.05</v>
      </c>
      <c r="N32" s="49"/>
      <c r="O32" s="45">
        <f>SUM(B32:M32)</f>
        <v>2206159.8600000003</v>
      </c>
      <c r="P32" s="45">
        <f>O32+4144994.7</f>
        <v>6351154.5600000005</v>
      </c>
    </row>
    <row r="33" spans="1:16" ht="18" x14ac:dyDescent="0.25">
      <c r="A33" s="40" t="s">
        <v>103</v>
      </c>
      <c r="B33" s="41">
        <v>50</v>
      </c>
      <c r="C33" s="41">
        <v>46</v>
      </c>
      <c r="D33" s="41">
        <v>45</v>
      </c>
      <c r="E33" s="41">
        <v>45</v>
      </c>
      <c r="F33" s="41">
        <v>45</v>
      </c>
      <c r="G33" s="41">
        <v>45</v>
      </c>
      <c r="H33" s="41">
        <v>45</v>
      </c>
      <c r="I33" s="41">
        <v>45</v>
      </c>
      <c r="J33" s="41">
        <v>45</v>
      </c>
      <c r="K33" s="41">
        <v>45</v>
      </c>
      <c r="L33" s="41">
        <v>45</v>
      </c>
      <c r="M33" s="41">
        <v>45</v>
      </c>
      <c r="N33" s="39"/>
      <c r="O33" s="41"/>
      <c r="P33" s="41"/>
    </row>
    <row r="34" spans="1:16" x14ac:dyDescent="0.25">
      <c r="A34" s="44" t="s">
        <v>97</v>
      </c>
      <c r="B34" s="45">
        <v>1378674.57</v>
      </c>
      <c r="C34" s="45">
        <v>1643648.02</v>
      </c>
      <c r="D34" s="45">
        <v>1230552</v>
      </c>
      <c r="E34" s="45">
        <v>1242164.5</v>
      </c>
      <c r="F34" s="45">
        <v>1340444.3</v>
      </c>
      <c r="G34" s="45">
        <v>1345864</v>
      </c>
      <c r="H34" s="45">
        <v>1356569</v>
      </c>
      <c r="I34" s="45">
        <v>1532952.26</v>
      </c>
      <c r="J34" s="45">
        <v>1543699</v>
      </c>
      <c r="K34" s="45">
        <v>1335013.3400000001</v>
      </c>
      <c r="L34" s="45">
        <v>1561481.4</v>
      </c>
      <c r="M34" s="45">
        <v>1286282</v>
      </c>
      <c r="N34" s="47"/>
      <c r="O34" s="45">
        <f>SUM(B34:M34)</f>
        <v>16797344.390000001</v>
      </c>
      <c r="P34" s="45">
        <f>O34+26820720.5</f>
        <v>43618064.890000001</v>
      </c>
    </row>
    <row r="35" spans="1:16" ht="18" x14ac:dyDescent="0.25">
      <c r="A35" s="44" t="s">
        <v>102</v>
      </c>
      <c r="B35" s="45">
        <v>180672.96</v>
      </c>
      <c r="C35" s="45">
        <v>197237.76000000001</v>
      </c>
      <c r="D35" s="45">
        <v>147666.23999999999</v>
      </c>
      <c r="E35" s="45">
        <v>149059.74000000002</v>
      </c>
      <c r="F35" s="45">
        <v>160853.32</v>
      </c>
      <c r="G35" s="45">
        <v>161503.68000000002</v>
      </c>
      <c r="H35" s="45">
        <v>162788.27999999997</v>
      </c>
      <c r="I35" s="45">
        <v>183954.27</v>
      </c>
      <c r="J35" s="45">
        <v>185243.88</v>
      </c>
      <c r="K35" s="45">
        <v>160201.60000000001</v>
      </c>
      <c r="L35" s="45">
        <v>187377.77000000002</v>
      </c>
      <c r="M35" s="45">
        <v>154353.84</v>
      </c>
      <c r="O35" s="45">
        <f>SUM(B35:M35)</f>
        <v>2030913.34</v>
      </c>
      <c r="P35" s="45">
        <f>O35+3754900.85</f>
        <v>5785814.1900000004</v>
      </c>
    </row>
    <row r="36" spans="1:16" x14ac:dyDescent="0.25">
      <c r="A36" s="44" t="s">
        <v>88</v>
      </c>
      <c r="B36" s="45">
        <v>27573.5</v>
      </c>
      <c r="C36" s="45">
        <v>32872.959999999999</v>
      </c>
      <c r="D36" s="45">
        <v>24611.040000000001</v>
      </c>
      <c r="E36" s="45">
        <v>24843.29</v>
      </c>
      <c r="F36" s="45">
        <v>26808.89</v>
      </c>
      <c r="G36" s="45">
        <v>26917.280000000002</v>
      </c>
      <c r="H36" s="45">
        <v>27131.380000000005</v>
      </c>
      <c r="I36" s="45">
        <v>30659.05</v>
      </c>
      <c r="J36" s="45">
        <v>30873.980000000003</v>
      </c>
      <c r="K36" s="45">
        <v>26700.270000000004</v>
      </c>
      <c r="L36" s="45">
        <v>31229.630000000005</v>
      </c>
      <c r="M36" s="45">
        <v>25725.64</v>
      </c>
      <c r="O36" s="45">
        <f>SUM(B36:M36)</f>
        <v>335946.91000000003</v>
      </c>
      <c r="P36" s="45">
        <f>O36+536414.4</f>
        <v>872361.31</v>
      </c>
    </row>
    <row r="37" spans="1:16" ht="18" x14ac:dyDescent="0.25">
      <c r="A37" s="40" t="s">
        <v>104</v>
      </c>
      <c r="B37" s="41">
        <v>112.5</v>
      </c>
      <c r="C37" s="41">
        <v>101.8</v>
      </c>
      <c r="D37" s="41">
        <v>99</v>
      </c>
      <c r="E37" s="41">
        <v>99</v>
      </c>
      <c r="F37" s="41">
        <v>99</v>
      </c>
      <c r="G37" s="41">
        <v>99</v>
      </c>
      <c r="H37" s="41">
        <v>99</v>
      </c>
      <c r="I37" s="41">
        <v>99</v>
      </c>
      <c r="J37" s="41">
        <v>99</v>
      </c>
      <c r="K37" s="41">
        <v>100.2</v>
      </c>
      <c r="L37" s="41">
        <v>101.2</v>
      </c>
      <c r="M37" s="41">
        <v>102</v>
      </c>
      <c r="N37" s="52"/>
      <c r="O37" s="41"/>
      <c r="P37" s="41"/>
    </row>
    <row r="38" spans="1:16" x14ac:dyDescent="0.25">
      <c r="A38" s="44" t="s">
        <v>97</v>
      </c>
      <c r="B38" s="45">
        <v>6285684.3000000007</v>
      </c>
      <c r="C38" s="45">
        <v>6664966.0499999998</v>
      </c>
      <c r="D38" s="45">
        <v>7897311.8599999994</v>
      </c>
      <c r="E38" s="45">
        <v>6811572.3599999994</v>
      </c>
      <c r="F38" s="45">
        <v>6534896.2699999996</v>
      </c>
      <c r="G38" s="45">
        <v>7869344.7999999998</v>
      </c>
      <c r="H38" s="45">
        <v>8318512.0099999998</v>
      </c>
      <c r="I38" s="45">
        <v>6382062.75</v>
      </c>
      <c r="J38" s="45">
        <v>9268700.8100000005</v>
      </c>
      <c r="K38" s="45">
        <v>8557064.8000000007</v>
      </c>
      <c r="L38" s="45">
        <v>8319991.2599999998</v>
      </c>
      <c r="M38" s="45">
        <v>7650444.75</v>
      </c>
      <c r="N38" s="46"/>
      <c r="O38" s="45">
        <f t="shared" ref="O38:O44" si="1">SUM(B38:M38)</f>
        <v>90560552.020000011</v>
      </c>
      <c r="P38" s="45">
        <f>O38+171210772.65</f>
        <v>261771324.67000002</v>
      </c>
    </row>
    <row r="39" spans="1:16" ht="18" x14ac:dyDescent="0.25">
      <c r="A39" s="44" t="s">
        <v>102</v>
      </c>
      <c r="B39" s="45">
        <v>811668.79999999993</v>
      </c>
      <c r="C39" s="45">
        <v>799795.93</v>
      </c>
      <c r="D39" s="45">
        <v>947677.41999999993</v>
      </c>
      <c r="E39" s="45">
        <v>817388.67999999993</v>
      </c>
      <c r="F39" s="45">
        <v>784187.55</v>
      </c>
      <c r="G39" s="45">
        <v>944321.38</v>
      </c>
      <c r="H39" s="45">
        <v>998221.44</v>
      </c>
      <c r="I39" s="45">
        <v>765847.53</v>
      </c>
      <c r="J39" s="45">
        <v>1112244.1000000001</v>
      </c>
      <c r="K39" s="45">
        <v>1026847.78</v>
      </c>
      <c r="L39" s="45">
        <v>998398.95000000007</v>
      </c>
      <c r="M39" s="45">
        <v>918053.37000000011</v>
      </c>
      <c r="N39" s="47"/>
      <c r="O39" s="45">
        <f t="shared" si="1"/>
        <v>10924652.93</v>
      </c>
      <c r="P39" s="45">
        <f>O39+23969508.33</f>
        <v>34894161.259999998</v>
      </c>
    </row>
    <row r="40" spans="1:16" x14ac:dyDescent="0.25">
      <c r="A40" s="44" t="s">
        <v>88</v>
      </c>
      <c r="B40" s="45">
        <v>125713.70000000001</v>
      </c>
      <c r="C40" s="45">
        <v>133299.32999999999</v>
      </c>
      <c r="D40" s="45">
        <v>157946.25</v>
      </c>
      <c r="E40" s="45">
        <v>136231.46</v>
      </c>
      <c r="F40" s="45">
        <v>130697.93</v>
      </c>
      <c r="G40" s="45">
        <v>157386.91</v>
      </c>
      <c r="H40" s="45">
        <v>166370.25</v>
      </c>
      <c r="I40" s="45">
        <v>127641.27</v>
      </c>
      <c r="J40" s="45">
        <v>185374.02999999997</v>
      </c>
      <c r="K40" s="45">
        <v>171141.31</v>
      </c>
      <c r="L40" s="45">
        <v>166399.84</v>
      </c>
      <c r="M40" s="45">
        <v>153008.91</v>
      </c>
      <c r="N40" s="47"/>
      <c r="O40" s="45">
        <f t="shared" si="1"/>
        <v>1811211.19</v>
      </c>
      <c r="P40" s="45">
        <f>O40+3424215.66</f>
        <v>5235426.8499999996</v>
      </c>
    </row>
    <row r="41" spans="1:16" ht="18" x14ac:dyDescent="0.25">
      <c r="A41" s="40" t="s">
        <v>105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39"/>
      <c r="O41" s="41"/>
      <c r="P41" s="41"/>
    </row>
    <row r="42" spans="1:16" x14ac:dyDescent="0.25">
      <c r="A42" s="44" t="s">
        <v>97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8"/>
      <c r="O42" s="45">
        <f t="shared" si="1"/>
        <v>0</v>
      </c>
      <c r="P42" s="45">
        <f>O42+5888459.36</f>
        <v>5888459.3600000003</v>
      </c>
    </row>
    <row r="43" spans="1:16" ht="18" x14ac:dyDescent="0.25">
      <c r="A43" s="44" t="s">
        <v>102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39"/>
      <c r="O43" s="45">
        <f t="shared" si="1"/>
        <v>0</v>
      </c>
      <c r="P43" s="45">
        <f>O43+824384.31</f>
        <v>824384.31</v>
      </c>
    </row>
    <row r="44" spans="1:16" x14ac:dyDescent="0.25">
      <c r="A44" s="44" t="s">
        <v>88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8"/>
      <c r="O44" s="45">
        <f t="shared" si="1"/>
        <v>0</v>
      </c>
      <c r="P44" s="45">
        <f>O44+117769.19</f>
        <v>117769.19</v>
      </c>
    </row>
    <row r="45" spans="1:16" ht="18" x14ac:dyDescent="0.25">
      <c r="A45" s="40" t="s">
        <v>106</v>
      </c>
      <c r="B45" s="41">
        <v>19</v>
      </c>
      <c r="C45" s="41">
        <v>19</v>
      </c>
      <c r="D45" s="41">
        <v>19</v>
      </c>
      <c r="E45" s="41">
        <v>19</v>
      </c>
      <c r="F45" s="41">
        <v>19</v>
      </c>
      <c r="G45" s="41">
        <v>19</v>
      </c>
      <c r="H45" s="41">
        <v>19</v>
      </c>
      <c r="I45" s="41">
        <v>19</v>
      </c>
      <c r="J45" s="41">
        <v>19</v>
      </c>
      <c r="K45" s="41">
        <v>19</v>
      </c>
      <c r="L45" s="41">
        <v>19</v>
      </c>
      <c r="M45" s="41">
        <v>19</v>
      </c>
      <c r="N45" s="39"/>
      <c r="O45" s="41"/>
      <c r="P45" s="41"/>
    </row>
    <row r="46" spans="1:16" x14ac:dyDescent="0.25">
      <c r="A46" s="44" t="s">
        <v>97</v>
      </c>
      <c r="B46" s="45">
        <v>231622.5</v>
      </c>
      <c r="C46" s="45">
        <v>225402.5</v>
      </c>
      <c r="D46" s="45">
        <v>206316</v>
      </c>
      <c r="E46" s="45">
        <v>257960</v>
      </c>
      <c r="F46" s="45">
        <v>224175</v>
      </c>
      <c r="G46" s="45">
        <v>251691.5</v>
      </c>
      <c r="H46" s="45">
        <v>267443.5</v>
      </c>
      <c r="I46" s="45">
        <v>285713</v>
      </c>
      <c r="J46" s="45">
        <v>324986.5</v>
      </c>
      <c r="K46" s="45">
        <v>261115</v>
      </c>
      <c r="L46" s="45">
        <v>246937.5</v>
      </c>
      <c r="M46" s="45">
        <v>166725</v>
      </c>
      <c r="N46" s="49"/>
      <c r="O46" s="45">
        <f>SUM(B46:M46)</f>
        <v>2950088</v>
      </c>
      <c r="P46" s="45">
        <f>O46+3329772.5</f>
        <v>6279860.5</v>
      </c>
    </row>
    <row r="47" spans="1:16" ht="18" x14ac:dyDescent="0.25">
      <c r="A47" s="44" t="s">
        <v>102</v>
      </c>
      <c r="B47" s="45">
        <v>109005.5</v>
      </c>
      <c r="C47" s="45">
        <v>103685.15000000001</v>
      </c>
      <c r="D47" s="45">
        <v>94905.359999999986</v>
      </c>
      <c r="E47" s="45">
        <v>118661.6</v>
      </c>
      <c r="F47" s="45">
        <v>103120.5</v>
      </c>
      <c r="G47" s="45">
        <v>115778.09</v>
      </c>
      <c r="H47" s="45">
        <v>123024.01000000001</v>
      </c>
      <c r="I47" s="45">
        <v>131427.97999999998</v>
      </c>
      <c r="J47" s="45">
        <v>149493.79</v>
      </c>
      <c r="K47" s="45">
        <v>120112.9</v>
      </c>
      <c r="L47" s="45">
        <v>113591.25</v>
      </c>
      <c r="M47" s="45">
        <v>76693.5</v>
      </c>
      <c r="N47" s="39"/>
      <c r="O47" s="45">
        <f>SUM(B47:M47)</f>
        <v>1359499.63</v>
      </c>
      <c r="P47" s="45">
        <f>O47+1598290.8</f>
        <v>2957790.4299999997</v>
      </c>
    </row>
    <row r="48" spans="1:16" x14ac:dyDescent="0.25">
      <c r="A48" s="44" t="s">
        <v>88</v>
      </c>
      <c r="B48" s="45">
        <v>4632.4500000000007</v>
      </c>
      <c r="C48" s="45">
        <v>4508.05</v>
      </c>
      <c r="D48" s="45">
        <v>4126.3200000000006</v>
      </c>
      <c r="E48" s="45">
        <v>5159.2</v>
      </c>
      <c r="F48" s="45">
        <v>4483.5</v>
      </c>
      <c r="G48" s="45">
        <v>5033.8300000000008</v>
      </c>
      <c r="H48" s="45">
        <v>5348.8700000000008</v>
      </c>
      <c r="I48" s="45">
        <v>5714.26</v>
      </c>
      <c r="J48" s="45">
        <v>6499.73</v>
      </c>
      <c r="K48" s="45">
        <v>5222.3</v>
      </c>
      <c r="L48" s="45">
        <v>4938.75</v>
      </c>
      <c r="M48" s="45">
        <v>3334.5</v>
      </c>
      <c r="N48" s="47"/>
      <c r="O48" s="45">
        <f>SUM(B48:M48)</f>
        <v>59001.760000000009</v>
      </c>
      <c r="P48" s="45">
        <f>O48+66595.45</f>
        <v>125597.21</v>
      </c>
    </row>
    <row r="49" spans="1:16" x14ac:dyDescent="0.2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39"/>
      <c r="O49" s="45"/>
      <c r="P49" s="45"/>
    </row>
    <row r="50" spans="1:16" x14ac:dyDescent="0.25">
      <c r="A50" s="53" t="s">
        <v>113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7"/>
      <c r="O50" s="45"/>
      <c r="P50" s="45"/>
    </row>
    <row r="51" spans="1:16" x14ac:dyDescent="0.25">
      <c r="A51" s="40" t="s">
        <v>87</v>
      </c>
      <c r="B51" s="41">
        <v>125</v>
      </c>
      <c r="C51" s="41">
        <v>125</v>
      </c>
      <c r="D51" s="41">
        <v>125</v>
      </c>
      <c r="E51" s="41">
        <v>121</v>
      </c>
      <c r="F51" s="41">
        <v>121</v>
      </c>
      <c r="G51" s="41">
        <v>121</v>
      </c>
      <c r="H51" s="41">
        <v>121</v>
      </c>
      <c r="I51" s="41">
        <v>121</v>
      </c>
      <c r="J51" s="41">
        <v>121</v>
      </c>
      <c r="K51" s="41">
        <v>121</v>
      </c>
      <c r="L51" s="41">
        <v>121</v>
      </c>
      <c r="M51" s="41">
        <v>121</v>
      </c>
      <c r="N51" s="49"/>
      <c r="O51" s="41"/>
      <c r="P51" s="41"/>
    </row>
    <row r="52" spans="1:16" x14ac:dyDescent="0.25">
      <c r="A52" s="44" t="s">
        <v>97</v>
      </c>
      <c r="B52" s="45">
        <v>6510322.5499999998</v>
      </c>
      <c r="C52" s="45">
        <v>7077848.6100000003</v>
      </c>
      <c r="D52" s="45">
        <v>6614214.9399999995</v>
      </c>
      <c r="E52" s="45">
        <v>6696108.5</v>
      </c>
      <c r="F52" s="45">
        <v>6452393.75</v>
      </c>
      <c r="G52" s="45">
        <v>7240001.5</v>
      </c>
      <c r="H52" s="45">
        <v>5792163.3499999996</v>
      </c>
      <c r="I52" s="45">
        <v>6877655.3499999996</v>
      </c>
      <c r="J52" s="45">
        <v>7265243.5</v>
      </c>
      <c r="K52" s="45">
        <v>6665016.25</v>
      </c>
      <c r="L52" s="45">
        <v>6876374</v>
      </c>
      <c r="M52" s="45">
        <v>6263497.8499999996</v>
      </c>
      <c r="O52" s="45">
        <f>SUM(B52:M52)</f>
        <v>80330840.150000006</v>
      </c>
      <c r="P52" s="45">
        <f>O52+151409553.61</f>
        <v>231740393.76000002</v>
      </c>
    </row>
    <row r="53" spans="1:16" ht="18" x14ac:dyDescent="0.25">
      <c r="A53" s="44" t="s">
        <v>102</v>
      </c>
      <c r="B53" s="45">
        <v>891472.77</v>
      </c>
      <c r="C53" s="45">
        <v>892951.07</v>
      </c>
      <c r="D53" s="45">
        <v>824057.59</v>
      </c>
      <c r="E53" s="45">
        <v>822242.37000000011</v>
      </c>
      <c r="F53" s="45">
        <v>822026.65</v>
      </c>
      <c r="G53" s="45">
        <v>898596.08</v>
      </c>
      <c r="H53" s="45">
        <v>726647.30999999994</v>
      </c>
      <c r="I53" s="45">
        <v>866349.85</v>
      </c>
      <c r="J53" s="45">
        <v>911946.66999999993</v>
      </c>
      <c r="K53" s="45">
        <v>857661.45000000007</v>
      </c>
      <c r="L53" s="45">
        <v>870610.13</v>
      </c>
      <c r="M53" s="45">
        <v>792914.45000000007</v>
      </c>
      <c r="N53" s="52"/>
      <c r="O53" s="45">
        <f>SUM(B53:M53)</f>
        <v>10177476.389999999</v>
      </c>
      <c r="P53" s="45">
        <f>O53+21427308.54</f>
        <v>31604784.93</v>
      </c>
    </row>
    <row r="54" spans="1:16" x14ac:dyDescent="0.25">
      <c r="A54" s="44" t="s">
        <v>88</v>
      </c>
      <c r="B54" s="45">
        <v>130206.46999999999</v>
      </c>
      <c r="C54" s="45">
        <v>141556.97000000003</v>
      </c>
      <c r="D54" s="45">
        <v>132284.29999999999</v>
      </c>
      <c r="E54" s="45">
        <v>133922.18</v>
      </c>
      <c r="F54" s="45">
        <v>129047.88</v>
      </c>
      <c r="G54" s="45">
        <v>144800.04</v>
      </c>
      <c r="H54" s="45">
        <v>115843.27</v>
      </c>
      <c r="I54" s="45">
        <v>137553.10999999999</v>
      </c>
      <c r="J54" s="45">
        <v>145304.88</v>
      </c>
      <c r="K54" s="45">
        <v>133300.34</v>
      </c>
      <c r="L54" s="45">
        <v>137527.5</v>
      </c>
      <c r="M54" s="45">
        <v>125269.97</v>
      </c>
      <c r="N54" s="46"/>
      <c r="O54" s="45">
        <f>SUM(B54:M54)</f>
        <v>1606616.9100000001</v>
      </c>
      <c r="P54" s="45">
        <f>O54+3028191.17</f>
        <v>4634808.08</v>
      </c>
    </row>
    <row r="55" spans="1:16" ht="18" x14ac:dyDescent="0.25">
      <c r="A55" s="40" t="s">
        <v>103</v>
      </c>
      <c r="B55" s="41">
        <v>35</v>
      </c>
      <c r="C55" s="41">
        <v>35</v>
      </c>
      <c r="D55" s="41">
        <v>35</v>
      </c>
      <c r="E55" s="41">
        <v>35</v>
      </c>
      <c r="F55" s="41">
        <v>35</v>
      </c>
      <c r="G55" s="41">
        <v>35</v>
      </c>
      <c r="H55" s="41">
        <v>35</v>
      </c>
      <c r="I55" s="41">
        <v>35</v>
      </c>
      <c r="J55" s="41">
        <v>35</v>
      </c>
      <c r="K55" s="41">
        <v>35</v>
      </c>
      <c r="L55" s="41">
        <v>35</v>
      </c>
      <c r="M55" s="41">
        <v>35</v>
      </c>
      <c r="N55" s="47"/>
      <c r="O55" s="41"/>
      <c r="P55" s="41"/>
    </row>
    <row r="56" spans="1:16" x14ac:dyDescent="0.25">
      <c r="A56" s="44" t="s">
        <v>97</v>
      </c>
      <c r="B56" s="45">
        <v>842637</v>
      </c>
      <c r="C56" s="45">
        <v>851118</v>
      </c>
      <c r="D56" s="45">
        <v>787462.5</v>
      </c>
      <c r="E56" s="45">
        <v>781831.5</v>
      </c>
      <c r="F56" s="45">
        <v>835653</v>
      </c>
      <c r="G56" s="45">
        <v>869145</v>
      </c>
      <c r="H56" s="45">
        <v>855464</v>
      </c>
      <c r="I56" s="45">
        <v>880872</v>
      </c>
      <c r="J56" s="45">
        <v>994253</v>
      </c>
      <c r="K56" s="45">
        <v>913851</v>
      </c>
      <c r="L56" s="45">
        <v>929178</v>
      </c>
      <c r="M56" s="45">
        <v>778416</v>
      </c>
      <c r="N56" s="47"/>
      <c r="O56" s="45">
        <f>SUM(B56:M56)</f>
        <v>10319881</v>
      </c>
      <c r="P56" s="45">
        <f>O56+19375933</f>
        <v>29695814</v>
      </c>
    </row>
    <row r="57" spans="1:16" ht="18" x14ac:dyDescent="0.25">
      <c r="A57" s="44" t="s">
        <v>102</v>
      </c>
      <c r="B57" s="45">
        <v>110607.32</v>
      </c>
      <c r="C57" s="45">
        <v>102134.16</v>
      </c>
      <c r="D57" s="45">
        <v>94495.5</v>
      </c>
      <c r="E57" s="45">
        <v>93819.78</v>
      </c>
      <c r="F57" s="45">
        <v>100278.36</v>
      </c>
      <c r="G57" s="45">
        <v>104297.4</v>
      </c>
      <c r="H57" s="45">
        <v>102655.68000000001</v>
      </c>
      <c r="I57" s="45">
        <v>105704.64</v>
      </c>
      <c r="J57" s="45">
        <v>119310.36</v>
      </c>
      <c r="K57" s="45">
        <v>109662.12000000001</v>
      </c>
      <c r="L57" s="45">
        <v>111501.36000000002</v>
      </c>
      <c r="M57" s="45">
        <v>93409.919999999998</v>
      </c>
      <c r="N57" s="39"/>
      <c r="O57" s="45">
        <f>SUM(B57:M57)</f>
        <v>1247876.6000000001</v>
      </c>
      <c r="P57" s="45">
        <f>O57+2712630.62</f>
        <v>3960507.22</v>
      </c>
    </row>
    <row r="58" spans="1:16" x14ac:dyDescent="0.25">
      <c r="A58" s="44" t="s">
        <v>88</v>
      </c>
      <c r="B58" s="45">
        <v>16852.740000000002</v>
      </c>
      <c r="C58" s="45">
        <v>17022.36</v>
      </c>
      <c r="D58" s="45">
        <v>15749.25</v>
      </c>
      <c r="E58" s="45">
        <v>15636.63</v>
      </c>
      <c r="F58" s="45">
        <v>16713.060000000001</v>
      </c>
      <c r="G58" s="45">
        <v>17382.899999999998</v>
      </c>
      <c r="H58" s="45">
        <v>17109.28</v>
      </c>
      <c r="I58" s="45">
        <v>17617.439999999999</v>
      </c>
      <c r="J58" s="45">
        <v>19885.060000000001</v>
      </c>
      <c r="K58" s="45">
        <v>18277.02</v>
      </c>
      <c r="L58" s="45">
        <v>18583.560000000001</v>
      </c>
      <c r="M58" s="45">
        <v>15568.32</v>
      </c>
      <c r="N58" s="48"/>
      <c r="O58" s="45">
        <f>SUM(B58:M58)</f>
        <v>206397.62</v>
      </c>
      <c r="P58" s="45">
        <f>O58+387518.66</f>
        <v>593916.28</v>
      </c>
    </row>
    <row r="59" spans="1:16" ht="18" x14ac:dyDescent="0.25">
      <c r="A59" s="40" t="s">
        <v>104</v>
      </c>
      <c r="B59" s="41">
        <v>86</v>
      </c>
      <c r="C59" s="41">
        <v>86</v>
      </c>
      <c r="D59" s="41">
        <v>86</v>
      </c>
      <c r="E59" s="41">
        <v>82</v>
      </c>
      <c r="F59" s="41">
        <v>82</v>
      </c>
      <c r="G59" s="41">
        <v>82</v>
      </c>
      <c r="H59" s="41">
        <v>82</v>
      </c>
      <c r="I59" s="41">
        <v>82</v>
      </c>
      <c r="J59" s="41">
        <v>82</v>
      </c>
      <c r="K59" s="41">
        <v>82</v>
      </c>
      <c r="L59" s="41">
        <v>82</v>
      </c>
      <c r="M59" s="41">
        <v>82</v>
      </c>
      <c r="N59" s="39"/>
      <c r="O59" s="41"/>
      <c r="P59" s="41"/>
    </row>
    <row r="60" spans="1:16" x14ac:dyDescent="0.25">
      <c r="A60" s="44" t="s">
        <v>97</v>
      </c>
      <c r="B60" s="45">
        <v>5556785.5499999998</v>
      </c>
      <c r="C60" s="45">
        <v>6098468.1100000003</v>
      </c>
      <c r="D60" s="45">
        <v>5737482.4399999995</v>
      </c>
      <c r="E60" s="45">
        <v>5859249.5</v>
      </c>
      <c r="F60" s="45">
        <v>5476330.75</v>
      </c>
      <c r="G60" s="45">
        <v>6283221.5</v>
      </c>
      <c r="H60" s="45">
        <v>4843794.3499999996</v>
      </c>
      <c r="I60" s="45">
        <v>5876103.3499999996</v>
      </c>
      <c r="J60" s="45">
        <v>6152998</v>
      </c>
      <c r="K60" s="45">
        <v>5580990.25</v>
      </c>
      <c r="L60" s="45">
        <v>5813533.5</v>
      </c>
      <c r="M60" s="45">
        <v>5363626.8499999996</v>
      </c>
      <c r="N60" s="48"/>
      <c r="O60" s="45">
        <f t="shared" ref="O60:O66" si="2">SUM(B60:M60)</f>
        <v>68642584.150000006</v>
      </c>
      <c r="P60" s="45">
        <f>O60+131357235.61</f>
        <v>199999819.75999999</v>
      </c>
    </row>
    <row r="61" spans="1:16" ht="18" x14ac:dyDescent="0.25">
      <c r="A61" s="44" t="s">
        <v>102</v>
      </c>
      <c r="B61" s="45">
        <v>728694.25</v>
      </c>
      <c r="C61" s="45">
        <v>731816.16</v>
      </c>
      <c r="D61" s="45">
        <v>688497.89</v>
      </c>
      <c r="E61" s="45">
        <v>703109.94</v>
      </c>
      <c r="F61" s="45">
        <v>657159.68999999994</v>
      </c>
      <c r="G61" s="45">
        <v>753986.58000000007</v>
      </c>
      <c r="H61" s="45">
        <v>581255.33000000007</v>
      </c>
      <c r="I61" s="45">
        <v>705132.41</v>
      </c>
      <c r="J61" s="45">
        <v>738359.76</v>
      </c>
      <c r="K61" s="45">
        <v>669718.83000000007</v>
      </c>
      <c r="L61" s="45">
        <v>697624.02</v>
      </c>
      <c r="M61" s="45">
        <v>643635.23</v>
      </c>
      <c r="N61" s="39"/>
      <c r="O61" s="45">
        <f t="shared" si="2"/>
        <v>8298990.0899999999</v>
      </c>
      <c r="P61" s="45">
        <f>O61+18390013.12</f>
        <v>26689003.210000001</v>
      </c>
    </row>
    <row r="62" spans="1:16" x14ac:dyDescent="0.25">
      <c r="A62" s="44" t="s">
        <v>88</v>
      </c>
      <c r="B62" s="45">
        <v>111135.73000000001</v>
      </c>
      <c r="C62" s="45">
        <v>121969.36000000002</v>
      </c>
      <c r="D62" s="45">
        <v>114749.65000000002</v>
      </c>
      <c r="E62" s="45">
        <v>117185.00999999998</v>
      </c>
      <c r="F62" s="45">
        <v>109526.62</v>
      </c>
      <c r="G62" s="45">
        <v>125664.44</v>
      </c>
      <c r="H62" s="45">
        <v>96875.89</v>
      </c>
      <c r="I62" s="45">
        <v>117522.07</v>
      </c>
      <c r="J62" s="45">
        <v>123059.97000000002</v>
      </c>
      <c r="K62" s="45">
        <v>111619.82</v>
      </c>
      <c r="L62" s="45">
        <v>116270.68999999999</v>
      </c>
      <c r="M62" s="45">
        <v>107272.54999999999</v>
      </c>
      <c r="N62" s="49"/>
      <c r="O62" s="45">
        <f t="shared" si="2"/>
        <v>1372851.8</v>
      </c>
      <c r="P62" s="45">
        <f>O62+2627144.83</f>
        <v>3999996.63</v>
      </c>
    </row>
    <row r="63" spans="1:16" ht="18" x14ac:dyDescent="0.25">
      <c r="A63" s="40" t="s">
        <v>105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39"/>
      <c r="O63" s="41"/>
      <c r="P63" s="41"/>
    </row>
    <row r="64" spans="1:16" x14ac:dyDescent="0.25">
      <c r="A64" s="44" t="s">
        <v>97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7"/>
      <c r="O64" s="45">
        <f t="shared" si="2"/>
        <v>0</v>
      </c>
      <c r="P64" s="45">
        <f>O64+0</f>
        <v>0</v>
      </c>
    </row>
    <row r="65" spans="1:16" ht="18" x14ac:dyDescent="0.25">
      <c r="A65" s="44" t="s">
        <v>102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54"/>
      <c r="O65" s="45">
        <f t="shared" si="2"/>
        <v>0</v>
      </c>
      <c r="P65" s="45">
        <f>O65+0</f>
        <v>0</v>
      </c>
    </row>
    <row r="66" spans="1:16" x14ac:dyDescent="0.25">
      <c r="A66" s="44" t="s">
        <v>88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8"/>
      <c r="O66" s="45">
        <f t="shared" si="2"/>
        <v>0</v>
      </c>
      <c r="P66" s="45">
        <f>O66+0</f>
        <v>0</v>
      </c>
    </row>
    <row r="67" spans="1:16" ht="18" x14ac:dyDescent="0.25">
      <c r="A67" s="40" t="s">
        <v>106</v>
      </c>
      <c r="B67" s="41">
        <v>4</v>
      </c>
      <c r="C67" s="41">
        <v>4</v>
      </c>
      <c r="D67" s="41">
        <v>4</v>
      </c>
      <c r="E67" s="41">
        <v>4</v>
      </c>
      <c r="F67" s="41">
        <v>4</v>
      </c>
      <c r="G67" s="41">
        <v>4</v>
      </c>
      <c r="H67" s="41">
        <v>4</v>
      </c>
      <c r="I67" s="41">
        <v>4</v>
      </c>
      <c r="J67" s="41">
        <v>4</v>
      </c>
      <c r="K67" s="41">
        <v>4</v>
      </c>
      <c r="L67" s="41">
        <v>4</v>
      </c>
      <c r="M67" s="41">
        <v>4</v>
      </c>
      <c r="N67" s="52"/>
      <c r="O67" s="41"/>
      <c r="P67" s="41"/>
    </row>
    <row r="68" spans="1:16" x14ac:dyDescent="0.25">
      <c r="A68" s="44" t="s">
        <v>97</v>
      </c>
      <c r="B68" s="45">
        <v>110900</v>
      </c>
      <c r="C68" s="45">
        <v>128262.5</v>
      </c>
      <c r="D68" s="45">
        <v>89270</v>
      </c>
      <c r="E68" s="45">
        <v>55027.5</v>
      </c>
      <c r="F68" s="45">
        <v>140410</v>
      </c>
      <c r="G68" s="45">
        <v>87635</v>
      </c>
      <c r="H68" s="45">
        <v>92905</v>
      </c>
      <c r="I68" s="45">
        <v>120680</v>
      </c>
      <c r="J68" s="45">
        <v>117992.5</v>
      </c>
      <c r="K68" s="45">
        <v>170175</v>
      </c>
      <c r="L68" s="45">
        <v>133662.5</v>
      </c>
      <c r="M68" s="45">
        <v>121455</v>
      </c>
      <c r="N68" s="46"/>
      <c r="O68" s="45">
        <f>SUM(B68:M68)</f>
        <v>1368375</v>
      </c>
      <c r="P68" s="45">
        <f>O68+676385</f>
        <v>2044760</v>
      </c>
    </row>
    <row r="69" spans="1:16" ht="18" x14ac:dyDescent="0.25">
      <c r="A69" s="44" t="s">
        <v>102</v>
      </c>
      <c r="B69" s="45">
        <v>52171.200000000012</v>
      </c>
      <c r="C69" s="45">
        <v>59000.75</v>
      </c>
      <c r="D69" s="45">
        <v>41064.199999999997</v>
      </c>
      <c r="E69" s="45">
        <v>25312.65</v>
      </c>
      <c r="F69" s="45">
        <v>64588.600000000006</v>
      </c>
      <c r="G69" s="45">
        <v>40312.1</v>
      </c>
      <c r="H69" s="45">
        <v>42736.3</v>
      </c>
      <c r="I69" s="45">
        <v>55512.800000000003</v>
      </c>
      <c r="J69" s="45">
        <v>54276.55</v>
      </c>
      <c r="K69" s="45">
        <v>78280.5</v>
      </c>
      <c r="L69" s="45">
        <v>61484.750000000007</v>
      </c>
      <c r="M69" s="45">
        <v>55869.3</v>
      </c>
      <c r="N69" s="47"/>
      <c r="O69" s="45">
        <f>SUM(B69:M69)</f>
        <v>630609.70000000007</v>
      </c>
      <c r="P69" s="45">
        <f>O69+324664.8</f>
        <v>955274.5</v>
      </c>
    </row>
    <row r="70" spans="1:16" x14ac:dyDescent="0.25">
      <c r="A70" s="44" t="s">
        <v>88</v>
      </c>
      <c r="B70" s="45">
        <v>2217.9999999999995</v>
      </c>
      <c r="C70" s="45">
        <v>2565.25</v>
      </c>
      <c r="D70" s="45">
        <v>1785.4</v>
      </c>
      <c r="E70" s="45">
        <v>1100.55</v>
      </c>
      <c r="F70" s="45">
        <v>2808.2</v>
      </c>
      <c r="G70" s="45">
        <v>1752.6999999999998</v>
      </c>
      <c r="H70" s="45">
        <v>1858.1</v>
      </c>
      <c r="I70" s="45">
        <v>2413.6000000000004</v>
      </c>
      <c r="J70" s="45">
        <v>2359.85</v>
      </c>
      <c r="K70" s="45">
        <v>3403.5</v>
      </c>
      <c r="L70" s="45">
        <v>2673.2499999999995</v>
      </c>
      <c r="M70" s="45">
        <v>2429.1000000000004</v>
      </c>
      <c r="N70" s="47"/>
      <c r="O70" s="45">
        <f>SUM(B70:M70)</f>
        <v>27367.5</v>
      </c>
      <c r="P70" s="45">
        <f>O70+13527.7</f>
        <v>40895.199999999997</v>
      </c>
    </row>
    <row r="71" spans="1:16" x14ac:dyDescent="0.2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7"/>
      <c r="O71" s="45"/>
      <c r="P71" s="45"/>
    </row>
    <row r="72" spans="1:16" x14ac:dyDescent="0.25">
      <c r="A72" s="53" t="s">
        <v>91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7"/>
      <c r="O72" s="45"/>
      <c r="P72" s="45"/>
    </row>
    <row r="73" spans="1:16" x14ac:dyDescent="0.25">
      <c r="A73" s="40" t="s">
        <v>87</v>
      </c>
      <c r="B73" s="41">
        <v>53</v>
      </c>
      <c r="C73" s="41">
        <v>53</v>
      </c>
      <c r="D73" s="41">
        <v>53</v>
      </c>
      <c r="E73" s="41">
        <v>53</v>
      </c>
      <c r="F73" s="41">
        <v>53</v>
      </c>
      <c r="G73" s="41">
        <v>53</v>
      </c>
      <c r="H73" s="41">
        <v>53</v>
      </c>
      <c r="I73" s="41">
        <v>53</v>
      </c>
      <c r="J73" s="41">
        <v>46</v>
      </c>
      <c r="K73" s="41">
        <v>46</v>
      </c>
      <c r="L73" s="41">
        <v>46</v>
      </c>
      <c r="M73" s="41">
        <v>46</v>
      </c>
      <c r="N73" s="39"/>
      <c r="O73" s="41"/>
      <c r="P73" s="41"/>
    </row>
    <row r="74" spans="1:16" x14ac:dyDescent="0.25">
      <c r="A74" s="44" t="s">
        <v>97</v>
      </c>
      <c r="B74" s="45">
        <v>1548794</v>
      </c>
      <c r="C74" s="45">
        <v>1299686</v>
      </c>
      <c r="D74" s="45">
        <v>1258562.75</v>
      </c>
      <c r="E74" s="45">
        <v>1127203.25</v>
      </c>
      <c r="F74" s="45">
        <v>1298769.75</v>
      </c>
      <c r="G74" s="45">
        <v>1090894.5</v>
      </c>
      <c r="H74" s="45">
        <v>1183829</v>
      </c>
      <c r="I74" s="45">
        <v>1268293</v>
      </c>
      <c r="J74" s="45">
        <v>1304654.75</v>
      </c>
      <c r="K74" s="45">
        <v>1248432.25</v>
      </c>
      <c r="L74" s="45">
        <v>1325481.5</v>
      </c>
      <c r="M74" s="45">
        <v>1001538.5</v>
      </c>
      <c r="N74" s="48"/>
      <c r="O74" s="45">
        <f>SUM(B74:M74)</f>
        <v>14956139.25</v>
      </c>
      <c r="P74" s="45">
        <f>O74+41578717.94</f>
        <v>56534857.189999998</v>
      </c>
    </row>
    <row r="75" spans="1:16" ht="18" x14ac:dyDescent="0.25">
      <c r="A75" s="44" t="s">
        <v>102</v>
      </c>
      <c r="B75" s="45">
        <v>192830.78999999998</v>
      </c>
      <c r="C75" s="45">
        <v>155962.32</v>
      </c>
      <c r="D75" s="45">
        <v>151027.53</v>
      </c>
      <c r="E75" s="45">
        <v>135264.38999999998</v>
      </c>
      <c r="F75" s="45">
        <v>155852.37</v>
      </c>
      <c r="G75" s="45">
        <v>130907.34</v>
      </c>
      <c r="H75" s="45">
        <v>142059.48000000001</v>
      </c>
      <c r="I75" s="45">
        <v>152195.16</v>
      </c>
      <c r="J75" s="45">
        <v>156558.57</v>
      </c>
      <c r="K75" s="45">
        <v>149811.87000000002</v>
      </c>
      <c r="L75" s="45">
        <v>159057.78</v>
      </c>
      <c r="M75" s="45">
        <v>120184.62</v>
      </c>
      <c r="N75" s="39"/>
      <c r="O75" s="45">
        <f>SUM(B75:M75)</f>
        <v>1801712.2200000002</v>
      </c>
      <c r="P75" s="45">
        <f>O75+5821020.59</f>
        <v>7622732.8100000005</v>
      </c>
    </row>
    <row r="76" spans="1:16" x14ac:dyDescent="0.25">
      <c r="A76" s="44" t="s">
        <v>88</v>
      </c>
      <c r="B76" s="45">
        <v>30975.899999999998</v>
      </c>
      <c r="C76" s="45">
        <v>25993.719999999998</v>
      </c>
      <c r="D76" s="45">
        <v>25171.26</v>
      </c>
      <c r="E76" s="45">
        <v>22544.080000000002</v>
      </c>
      <c r="F76" s="45">
        <v>25975.409999999996</v>
      </c>
      <c r="G76" s="45">
        <v>21817.9</v>
      </c>
      <c r="H76" s="45">
        <v>23676.59</v>
      </c>
      <c r="I76" s="45">
        <v>25365.88</v>
      </c>
      <c r="J76" s="45">
        <v>26093.100000000002</v>
      </c>
      <c r="K76" s="45">
        <v>24968.650000000005</v>
      </c>
      <c r="L76" s="45">
        <v>26509.64</v>
      </c>
      <c r="M76" s="45">
        <v>20030.78</v>
      </c>
      <c r="N76" s="48"/>
      <c r="O76" s="45">
        <f>SUM(B76:M76)</f>
        <v>299122.91000000003</v>
      </c>
      <c r="P76" s="45">
        <f>O76+831574.45</f>
        <v>1130697.3599999999</v>
      </c>
    </row>
    <row r="77" spans="1:16" ht="18" x14ac:dyDescent="0.25">
      <c r="A77" s="40" t="s">
        <v>103</v>
      </c>
      <c r="B77" s="41">
        <v>9</v>
      </c>
      <c r="C77" s="41">
        <v>9</v>
      </c>
      <c r="D77" s="41">
        <v>9</v>
      </c>
      <c r="E77" s="41">
        <v>9</v>
      </c>
      <c r="F77" s="41">
        <v>9</v>
      </c>
      <c r="G77" s="41">
        <v>9</v>
      </c>
      <c r="H77" s="41">
        <v>9</v>
      </c>
      <c r="I77" s="41">
        <v>9</v>
      </c>
      <c r="J77" s="41">
        <v>9</v>
      </c>
      <c r="K77" s="41">
        <v>9</v>
      </c>
      <c r="L77" s="41">
        <v>9</v>
      </c>
      <c r="M77" s="41">
        <v>9</v>
      </c>
      <c r="N77" s="39"/>
      <c r="O77" s="41"/>
      <c r="P77" s="41"/>
    </row>
    <row r="78" spans="1:16" x14ac:dyDescent="0.25">
      <c r="A78" s="44" t="s">
        <v>97</v>
      </c>
      <c r="B78" s="45">
        <v>136207</v>
      </c>
      <c r="C78" s="45">
        <v>143891</v>
      </c>
      <c r="D78" s="45">
        <v>143006</v>
      </c>
      <c r="E78" s="45">
        <v>138616</v>
      </c>
      <c r="F78" s="45">
        <v>87472</v>
      </c>
      <c r="G78" s="45">
        <v>83969</v>
      </c>
      <c r="H78" s="45">
        <v>84814</v>
      </c>
      <c r="I78" s="45">
        <v>96591</v>
      </c>
      <c r="J78" s="45">
        <v>119570</v>
      </c>
      <c r="K78" s="45">
        <v>100516</v>
      </c>
      <c r="L78" s="45">
        <v>94820</v>
      </c>
      <c r="M78" s="45">
        <v>96282</v>
      </c>
      <c r="N78" s="49"/>
      <c r="O78" s="45">
        <f>SUM(B78:M78)</f>
        <v>1325754</v>
      </c>
      <c r="P78" s="45">
        <f>O78+1475753</f>
        <v>2801507</v>
      </c>
    </row>
    <row r="79" spans="1:16" ht="18" x14ac:dyDescent="0.25">
      <c r="A79" s="44" t="s">
        <v>102</v>
      </c>
      <c r="B79" s="45">
        <v>16975.52</v>
      </c>
      <c r="C79" s="45">
        <v>17266.919999999998</v>
      </c>
      <c r="D79" s="45">
        <v>17160.72</v>
      </c>
      <c r="E79" s="45">
        <v>16633.920000000002</v>
      </c>
      <c r="F79" s="45">
        <v>10496.64</v>
      </c>
      <c r="G79" s="45">
        <v>10076.280000000001</v>
      </c>
      <c r="H79" s="45">
        <v>10177.679999999998</v>
      </c>
      <c r="I79" s="45">
        <v>11590.92</v>
      </c>
      <c r="J79" s="45">
        <v>14348.4</v>
      </c>
      <c r="K79" s="45">
        <v>12061.92</v>
      </c>
      <c r="L79" s="45">
        <v>11378.399999999998</v>
      </c>
      <c r="M79" s="45">
        <v>11553.84</v>
      </c>
      <c r="N79" s="39"/>
      <c r="O79" s="45">
        <f>SUM(B79:M79)</f>
        <v>159721.15999999997</v>
      </c>
      <c r="P79" s="45">
        <f>O79+206605.42</f>
        <v>366326.57999999996</v>
      </c>
    </row>
    <row r="80" spans="1:16" x14ac:dyDescent="0.25">
      <c r="A80" s="44" t="s">
        <v>88</v>
      </c>
      <c r="B80" s="45">
        <v>2724.1400000000003</v>
      </c>
      <c r="C80" s="45">
        <v>2877.82</v>
      </c>
      <c r="D80" s="45">
        <v>2860.12</v>
      </c>
      <c r="E80" s="45">
        <v>2772.32</v>
      </c>
      <c r="F80" s="45">
        <v>1749.4400000000003</v>
      </c>
      <c r="G80" s="45">
        <v>1679.38</v>
      </c>
      <c r="H80" s="45">
        <v>1696.28</v>
      </c>
      <c r="I80" s="45">
        <v>1931.82</v>
      </c>
      <c r="J80" s="45">
        <v>2391.4</v>
      </c>
      <c r="K80" s="45">
        <v>2010.32</v>
      </c>
      <c r="L80" s="45">
        <v>1896.4</v>
      </c>
      <c r="M80" s="45">
        <v>1925.6399999999999</v>
      </c>
      <c r="N80" s="47"/>
      <c r="O80" s="45">
        <f>SUM(B80:M80)</f>
        <v>26515.080000000005</v>
      </c>
      <c r="P80" s="45">
        <f>O80+29515.06</f>
        <v>56030.140000000007</v>
      </c>
    </row>
    <row r="81" spans="1:16" ht="18" x14ac:dyDescent="0.25">
      <c r="A81" s="40" t="s">
        <v>104</v>
      </c>
      <c r="B81" s="41">
        <v>44</v>
      </c>
      <c r="C81" s="41">
        <v>44</v>
      </c>
      <c r="D81" s="41">
        <v>44</v>
      </c>
      <c r="E81" s="41">
        <v>44.2</v>
      </c>
      <c r="F81" s="41">
        <v>44</v>
      </c>
      <c r="G81" s="41">
        <v>44</v>
      </c>
      <c r="H81" s="41">
        <v>44</v>
      </c>
      <c r="I81" s="41">
        <v>44</v>
      </c>
      <c r="J81" s="41">
        <v>37</v>
      </c>
      <c r="K81" s="41">
        <v>37</v>
      </c>
      <c r="L81" s="41">
        <v>37</v>
      </c>
      <c r="M81" s="41">
        <v>37</v>
      </c>
      <c r="N81" s="49"/>
      <c r="O81" s="41"/>
      <c r="P81" s="41"/>
    </row>
    <row r="82" spans="1:16" x14ac:dyDescent="0.25">
      <c r="A82" s="44" t="s">
        <v>97</v>
      </c>
      <c r="B82" s="45">
        <v>1412587</v>
      </c>
      <c r="C82" s="45">
        <v>1155795</v>
      </c>
      <c r="D82" s="45">
        <v>1115556.75</v>
      </c>
      <c r="E82" s="45">
        <v>988587.25</v>
      </c>
      <c r="F82" s="45">
        <v>1211297.75</v>
      </c>
      <c r="G82" s="45">
        <v>1006925.5</v>
      </c>
      <c r="H82" s="45">
        <v>1099015</v>
      </c>
      <c r="I82" s="45">
        <v>1171702</v>
      </c>
      <c r="J82" s="45">
        <v>1185084.75</v>
      </c>
      <c r="K82" s="45">
        <v>1147916.25</v>
      </c>
      <c r="L82" s="45">
        <v>1230661.5</v>
      </c>
      <c r="M82" s="45">
        <v>905256.5</v>
      </c>
      <c r="N82" s="55"/>
      <c r="O82" s="45">
        <f t="shared" ref="O82:O92" si="3">SUM(B82:M82)</f>
        <v>13630385.25</v>
      </c>
      <c r="P82" s="45">
        <f>O82+40102964.94</f>
        <v>53733350.189999998</v>
      </c>
    </row>
    <row r="83" spans="1:16" ht="18" x14ac:dyDescent="0.25">
      <c r="A83" s="44" t="s">
        <v>102</v>
      </c>
      <c r="B83" s="45">
        <v>175855.27</v>
      </c>
      <c r="C83" s="45">
        <v>138695.4</v>
      </c>
      <c r="D83" s="45">
        <v>133866.81</v>
      </c>
      <c r="E83" s="45">
        <v>118630.47</v>
      </c>
      <c r="F83" s="45">
        <v>145355.73000000001</v>
      </c>
      <c r="G83" s="45">
        <v>120831.06</v>
      </c>
      <c r="H83" s="45">
        <v>131881.79999999999</v>
      </c>
      <c r="I83" s="45">
        <v>140604.24</v>
      </c>
      <c r="J83" s="45">
        <v>142210.16999999998</v>
      </c>
      <c r="K83" s="45">
        <v>137749.94999999998</v>
      </c>
      <c r="L83" s="45">
        <v>147679.38</v>
      </c>
      <c r="M83" s="45">
        <v>108630.78</v>
      </c>
      <c r="N83" s="52"/>
      <c r="O83" s="45">
        <f t="shared" si="3"/>
        <v>1641991.0599999998</v>
      </c>
      <c r="P83" s="45">
        <f>O83+5614415.17</f>
        <v>7256406.2299999995</v>
      </c>
    </row>
    <row r="84" spans="1:16" x14ac:dyDescent="0.25">
      <c r="A84" s="44" t="s">
        <v>88</v>
      </c>
      <c r="B84" s="45">
        <v>28251.759999999995</v>
      </c>
      <c r="C84" s="45">
        <v>23115.899999999998</v>
      </c>
      <c r="D84" s="45">
        <v>22311.14</v>
      </c>
      <c r="E84" s="45">
        <v>19771.760000000002</v>
      </c>
      <c r="F84" s="45">
        <v>24225.97</v>
      </c>
      <c r="G84" s="45">
        <v>20138.52</v>
      </c>
      <c r="H84" s="45">
        <v>21980.31</v>
      </c>
      <c r="I84" s="45">
        <v>23434.06</v>
      </c>
      <c r="J84" s="45">
        <v>23701.7</v>
      </c>
      <c r="K84" s="45">
        <v>22958.33</v>
      </c>
      <c r="L84" s="45">
        <v>24613.24</v>
      </c>
      <c r="M84" s="45">
        <v>18105.14</v>
      </c>
      <c r="N84" s="46"/>
      <c r="O84" s="45">
        <f t="shared" si="3"/>
        <v>272607.83</v>
      </c>
      <c r="P84" s="45">
        <f>O84+802059.4</f>
        <v>1074667.23</v>
      </c>
    </row>
    <row r="85" spans="1:16" ht="18" x14ac:dyDescent="0.25">
      <c r="A85" s="40" t="s">
        <v>105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 t="s">
        <v>128</v>
      </c>
      <c r="N85" s="47"/>
      <c r="O85" s="41"/>
      <c r="P85" s="41"/>
    </row>
    <row r="86" spans="1:16" x14ac:dyDescent="0.25">
      <c r="A86" s="44" t="s">
        <v>97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7"/>
      <c r="O86" s="45">
        <f t="shared" si="3"/>
        <v>0</v>
      </c>
      <c r="P86" s="45">
        <f>O86+0</f>
        <v>0</v>
      </c>
    </row>
    <row r="87" spans="1:16" ht="18" x14ac:dyDescent="0.25">
      <c r="A87" s="44" t="s">
        <v>102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39"/>
      <c r="O87" s="45">
        <f t="shared" si="3"/>
        <v>0</v>
      </c>
      <c r="P87" s="45">
        <f>O87+0</f>
        <v>0</v>
      </c>
    </row>
    <row r="88" spans="1:16" x14ac:dyDescent="0.25">
      <c r="A88" s="44" t="s">
        <v>88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8"/>
      <c r="O88" s="45">
        <f t="shared" si="3"/>
        <v>0</v>
      </c>
      <c r="P88" s="45">
        <f>O88+0</f>
        <v>0</v>
      </c>
    </row>
    <row r="89" spans="1:16" ht="18" x14ac:dyDescent="0.25">
      <c r="A89" s="40" t="s">
        <v>106</v>
      </c>
      <c r="B89" s="41">
        <v>0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 t="s">
        <v>128</v>
      </c>
      <c r="N89" s="39"/>
      <c r="O89" s="41"/>
      <c r="P89" s="41"/>
    </row>
    <row r="90" spans="1:16" x14ac:dyDescent="0.25">
      <c r="A90" s="44" t="s">
        <v>97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8"/>
      <c r="O90" s="45">
        <f t="shared" si="3"/>
        <v>0</v>
      </c>
      <c r="P90" s="45">
        <f>O90+0</f>
        <v>0</v>
      </c>
    </row>
    <row r="91" spans="1:16" ht="18" x14ac:dyDescent="0.25">
      <c r="A91" s="44" t="s">
        <v>102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39"/>
      <c r="O91" s="45">
        <f t="shared" si="3"/>
        <v>0</v>
      </c>
      <c r="P91" s="45">
        <f>O91+0</f>
        <v>0</v>
      </c>
    </row>
    <row r="92" spans="1:16" x14ac:dyDescent="0.25">
      <c r="A92" s="44" t="s">
        <v>88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9"/>
      <c r="O92" s="45">
        <f t="shared" si="3"/>
        <v>0</v>
      </c>
      <c r="P92" s="45">
        <f>O92+0</f>
        <v>0</v>
      </c>
    </row>
    <row r="93" spans="1:16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39"/>
      <c r="O93" s="41"/>
      <c r="P93" s="41"/>
    </row>
    <row r="94" spans="1:16" x14ac:dyDescent="0.25">
      <c r="A94" s="53" t="s">
        <v>92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9"/>
      <c r="O94" s="45"/>
      <c r="P94" s="45"/>
    </row>
    <row r="95" spans="1:16" x14ac:dyDescent="0.25">
      <c r="A95" s="40" t="s">
        <v>87</v>
      </c>
      <c r="B95" s="41">
        <v>80</v>
      </c>
      <c r="C95" s="41">
        <v>80</v>
      </c>
      <c r="D95" s="41">
        <v>80</v>
      </c>
      <c r="E95" s="41">
        <v>79.8</v>
      </c>
      <c r="F95" s="41">
        <v>80</v>
      </c>
      <c r="G95" s="41">
        <v>80</v>
      </c>
      <c r="H95" s="41">
        <v>80</v>
      </c>
      <c r="I95" s="41">
        <v>80</v>
      </c>
      <c r="J95" s="41">
        <v>80.8</v>
      </c>
      <c r="K95" s="41">
        <v>80</v>
      </c>
      <c r="L95" s="41">
        <v>80</v>
      </c>
      <c r="M95" s="41">
        <v>79.8</v>
      </c>
      <c r="N95" s="39"/>
      <c r="O95" s="41"/>
      <c r="P95" s="41"/>
    </row>
    <row r="96" spans="1:16" x14ac:dyDescent="0.25">
      <c r="A96" s="44" t="s">
        <v>97</v>
      </c>
      <c r="B96" s="45">
        <v>3757735</v>
      </c>
      <c r="C96" s="45">
        <v>3220333.44</v>
      </c>
      <c r="D96" s="45">
        <v>2818371.71</v>
      </c>
      <c r="E96" s="45">
        <v>2525910.0300000003</v>
      </c>
      <c r="F96" s="45">
        <v>1754327.5</v>
      </c>
      <c r="G96" s="45">
        <v>2970906.04</v>
      </c>
      <c r="H96" s="45">
        <v>2334143</v>
      </c>
      <c r="I96" s="45">
        <v>1941422.39</v>
      </c>
      <c r="J96" s="45">
        <v>3318622.06</v>
      </c>
      <c r="K96" s="45">
        <v>4381160.78</v>
      </c>
      <c r="L96" s="45">
        <v>4134336.41</v>
      </c>
      <c r="M96" s="45">
        <v>2826564.2800000003</v>
      </c>
      <c r="N96" s="47"/>
      <c r="O96" s="45">
        <f>SUM(B96:M96)</f>
        <v>35983832.640000001</v>
      </c>
      <c r="P96" s="45">
        <f>O96+67715791.86</f>
        <v>103699624.5</v>
      </c>
    </row>
    <row r="97" spans="1:16" ht="18" x14ac:dyDescent="0.25">
      <c r="A97" s="44" t="s">
        <v>102</v>
      </c>
      <c r="B97" s="45">
        <v>469734.51</v>
      </c>
      <c r="C97" s="45">
        <v>386440.01</v>
      </c>
      <c r="D97" s="45">
        <v>338204.61</v>
      </c>
      <c r="E97" s="45">
        <v>303109.21000000002</v>
      </c>
      <c r="F97" s="45">
        <v>210519.3</v>
      </c>
      <c r="G97" s="45">
        <v>356508.72000000003</v>
      </c>
      <c r="H97" s="45">
        <v>280097.16000000003</v>
      </c>
      <c r="I97" s="45">
        <v>232970.69000000003</v>
      </c>
      <c r="J97" s="45">
        <v>398234.65</v>
      </c>
      <c r="K97" s="45">
        <v>525739.29</v>
      </c>
      <c r="L97" s="45">
        <v>496120.36999999994</v>
      </c>
      <c r="M97" s="45">
        <v>339187.71</v>
      </c>
      <c r="O97" s="45">
        <f>SUM(B97:M97)</f>
        <v>4336866.2300000004</v>
      </c>
      <c r="P97" s="45">
        <f>O97+9480210.94</f>
        <v>13817077.17</v>
      </c>
    </row>
    <row r="98" spans="1:16" x14ac:dyDescent="0.25">
      <c r="A98" s="44" t="s">
        <v>88</v>
      </c>
      <c r="B98" s="45">
        <v>75154.709999999992</v>
      </c>
      <c r="C98" s="45">
        <v>64406.69</v>
      </c>
      <c r="D98" s="45">
        <v>56367.42</v>
      </c>
      <c r="E98" s="45">
        <v>50518.2</v>
      </c>
      <c r="F98" s="45">
        <v>35086.54</v>
      </c>
      <c r="G98" s="45">
        <v>59418.14</v>
      </c>
      <c r="H98" s="45">
        <v>46682.869999999995</v>
      </c>
      <c r="I98" s="45">
        <v>38828.449999999997</v>
      </c>
      <c r="J98" s="45">
        <v>66372.450000000012</v>
      </c>
      <c r="K98" s="45">
        <v>87623.22</v>
      </c>
      <c r="L98" s="45">
        <v>82686.740000000005</v>
      </c>
      <c r="M98" s="45">
        <v>56531.299999999996</v>
      </c>
      <c r="O98" s="45">
        <f>SUM(B98:M98)</f>
        <v>719676.7300000001</v>
      </c>
      <c r="P98" s="45">
        <f>O98+1354315.96</f>
        <v>2073992.69</v>
      </c>
    </row>
    <row r="99" spans="1:16" ht="18" x14ac:dyDescent="0.25">
      <c r="A99" s="40" t="s">
        <v>103</v>
      </c>
      <c r="B99" s="41">
        <v>20</v>
      </c>
      <c r="C99" s="41">
        <v>20</v>
      </c>
      <c r="D99" s="41">
        <v>20</v>
      </c>
      <c r="E99" s="41">
        <v>20</v>
      </c>
      <c r="F99" s="41">
        <v>20</v>
      </c>
      <c r="G99" s="41">
        <v>20</v>
      </c>
      <c r="H99" s="41">
        <v>20</v>
      </c>
      <c r="I99" s="41">
        <v>20</v>
      </c>
      <c r="J99" s="41">
        <v>20</v>
      </c>
      <c r="K99" s="41">
        <v>20</v>
      </c>
      <c r="L99" s="41">
        <v>20</v>
      </c>
      <c r="M99" s="41">
        <v>20</v>
      </c>
      <c r="O99" s="41"/>
      <c r="P99" s="41"/>
    </row>
    <row r="100" spans="1:16" x14ac:dyDescent="0.25">
      <c r="A100" s="44" t="s">
        <v>97</v>
      </c>
      <c r="B100" s="45">
        <v>295634.5</v>
      </c>
      <c r="C100" s="45">
        <v>274106</v>
      </c>
      <c r="D100" s="45">
        <v>251875</v>
      </c>
      <c r="E100" s="45">
        <v>254851</v>
      </c>
      <c r="F100" s="45">
        <v>238501.5</v>
      </c>
      <c r="G100" s="45">
        <v>244212.5</v>
      </c>
      <c r="H100" s="45">
        <v>241814</v>
      </c>
      <c r="I100" s="45">
        <v>220496</v>
      </c>
      <c r="J100" s="45">
        <v>245759</v>
      </c>
      <c r="K100" s="45">
        <v>233333</v>
      </c>
      <c r="L100" s="45">
        <v>250283</v>
      </c>
      <c r="M100" s="45">
        <v>237531</v>
      </c>
      <c r="O100" s="45">
        <f>SUM(B100:M100)</f>
        <v>2988396.5</v>
      </c>
      <c r="P100" s="45">
        <f>O100+7487255.88</f>
        <v>10475652.379999999</v>
      </c>
    </row>
    <row r="101" spans="1:16" ht="18" x14ac:dyDescent="0.25">
      <c r="A101" s="44" t="s">
        <v>102</v>
      </c>
      <c r="B101" s="45">
        <v>36952.43</v>
      </c>
      <c r="C101" s="45">
        <v>32892.720000000001</v>
      </c>
      <c r="D101" s="45">
        <v>30225.000000000004</v>
      </c>
      <c r="E101" s="45">
        <v>30582.12</v>
      </c>
      <c r="F101" s="45">
        <v>28620.18</v>
      </c>
      <c r="G101" s="45">
        <v>29305.5</v>
      </c>
      <c r="H101" s="45">
        <v>29017.68</v>
      </c>
      <c r="I101" s="45">
        <v>26459.519999999997</v>
      </c>
      <c r="J101" s="45">
        <v>29491.08</v>
      </c>
      <c r="K101" s="45">
        <v>27999.960000000003</v>
      </c>
      <c r="L101" s="45">
        <v>30033.960000000003</v>
      </c>
      <c r="M101" s="45">
        <v>28503.72</v>
      </c>
      <c r="O101" s="45">
        <f>SUM(B101:M101)</f>
        <v>360083.87</v>
      </c>
      <c r="P101" s="45">
        <f>O101+1048215.82</f>
        <v>1408299.69</v>
      </c>
    </row>
    <row r="102" spans="1:16" x14ac:dyDescent="0.25">
      <c r="A102" s="44" t="s">
        <v>88</v>
      </c>
      <c r="B102" s="45">
        <v>5912.69</v>
      </c>
      <c r="C102" s="45">
        <v>5482.119999999999</v>
      </c>
      <c r="D102" s="45">
        <v>5037.5</v>
      </c>
      <c r="E102" s="45">
        <v>5097.0200000000004</v>
      </c>
      <c r="F102" s="45">
        <v>4770.03</v>
      </c>
      <c r="G102" s="45">
        <v>4884.2499999999991</v>
      </c>
      <c r="H102" s="45">
        <v>4836.28</v>
      </c>
      <c r="I102" s="45">
        <v>4409.92</v>
      </c>
      <c r="J102" s="45">
        <v>4915.18</v>
      </c>
      <c r="K102" s="45">
        <v>4666.66</v>
      </c>
      <c r="L102" s="45">
        <v>5005.66</v>
      </c>
      <c r="M102" s="45">
        <v>4750.62</v>
      </c>
      <c r="O102" s="45">
        <f>SUM(B102:M102)</f>
        <v>59767.93</v>
      </c>
      <c r="P102" s="45">
        <f>O102+149745.13</f>
        <v>209513.06</v>
      </c>
    </row>
    <row r="103" spans="1:16" ht="18" x14ac:dyDescent="0.25">
      <c r="A103" s="40" t="s">
        <v>104</v>
      </c>
      <c r="B103" s="41">
        <v>60</v>
      </c>
      <c r="C103" s="41">
        <v>60</v>
      </c>
      <c r="D103" s="41">
        <v>60</v>
      </c>
      <c r="E103" s="41">
        <v>59.8</v>
      </c>
      <c r="F103" s="41">
        <v>60</v>
      </c>
      <c r="G103" s="41">
        <v>60</v>
      </c>
      <c r="H103" s="41">
        <v>60</v>
      </c>
      <c r="I103" s="41">
        <v>60</v>
      </c>
      <c r="J103" s="41">
        <v>60.8</v>
      </c>
      <c r="K103" s="41">
        <v>60</v>
      </c>
      <c r="L103" s="41">
        <v>60</v>
      </c>
      <c r="M103" s="41">
        <v>59.8</v>
      </c>
      <c r="O103" s="41"/>
      <c r="P103" s="41"/>
    </row>
    <row r="104" spans="1:16" x14ac:dyDescent="0.25">
      <c r="A104" s="44" t="s">
        <v>97</v>
      </c>
      <c r="B104" s="45">
        <v>3462100.5</v>
      </c>
      <c r="C104" s="45">
        <v>2946227.44</v>
      </c>
      <c r="D104" s="45">
        <v>2566496.71</v>
      </c>
      <c r="E104" s="45">
        <v>2271059.0300000003</v>
      </c>
      <c r="F104" s="45">
        <v>1515826</v>
      </c>
      <c r="G104" s="45">
        <v>2726693.54</v>
      </c>
      <c r="H104" s="45">
        <v>2092329</v>
      </c>
      <c r="I104" s="45">
        <v>1720926.39</v>
      </c>
      <c r="J104" s="45">
        <v>3072863.06</v>
      </c>
      <c r="K104" s="45">
        <v>4147827.7800000003</v>
      </c>
      <c r="L104" s="45">
        <v>3884053.41</v>
      </c>
      <c r="M104" s="45">
        <v>2589033.2800000003</v>
      </c>
      <c r="O104" s="45">
        <f t="shared" ref="O104:O114" si="4">SUM(B104:M104)</f>
        <v>32995436.140000001</v>
      </c>
      <c r="P104" s="45">
        <f>O104+60228535.98</f>
        <v>93223972.120000005</v>
      </c>
    </row>
    <row r="105" spans="1:16" ht="18" x14ac:dyDescent="0.25">
      <c r="A105" s="44" t="s">
        <v>102</v>
      </c>
      <c r="B105" s="45">
        <v>432782.07999999996</v>
      </c>
      <c r="C105" s="45">
        <v>353547.29000000004</v>
      </c>
      <c r="D105" s="45">
        <v>307979.61</v>
      </c>
      <c r="E105" s="45">
        <v>272527.09000000003</v>
      </c>
      <c r="F105" s="45">
        <v>181899.12</v>
      </c>
      <c r="G105" s="45">
        <v>327203.22000000003</v>
      </c>
      <c r="H105" s="45">
        <v>251079.48</v>
      </c>
      <c r="I105" s="45">
        <v>206511.17000000004</v>
      </c>
      <c r="J105" s="45">
        <v>368743.56999999995</v>
      </c>
      <c r="K105" s="45">
        <v>497739.33</v>
      </c>
      <c r="L105" s="45">
        <v>466086.41000000009</v>
      </c>
      <c r="M105" s="45">
        <v>310683.99000000005</v>
      </c>
      <c r="O105" s="45">
        <f t="shared" si="4"/>
        <v>3976782.3600000003</v>
      </c>
      <c r="P105" s="45">
        <f>O105+8431995.12</f>
        <v>12408777.48</v>
      </c>
    </row>
    <row r="106" spans="1:16" x14ac:dyDescent="0.25">
      <c r="A106" s="44" t="s">
        <v>88</v>
      </c>
      <c r="B106" s="45">
        <v>69242.020000000019</v>
      </c>
      <c r="C106" s="45">
        <v>58924.570000000007</v>
      </c>
      <c r="D106" s="45">
        <v>51329.919999999998</v>
      </c>
      <c r="E106" s="45">
        <v>45421.19</v>
      </c>
      <c r="F106" s="45">
        <v>30316.510000000002</v>
      </c>
      <c r="G106" s="45">
        <v>54533.89</v>
      </c>
      <c r="H106" s="45">
        <v>41846.589999999997</v>
      </c>
      <c r="I106" s="45">
        <v>34418.530000000006</v>
      </c>
      <c r="J106" s="45">
        <v>61457.27</v>
      </c>
      <c r="K106" s="45">
        <v>82956.56</v>
      </c>
      <c r="L106" s="45">
        <v>77681.08</v>
      </c>
      <c r="M106" s="45">
        <v>51780.679999999993</v>
      </c>
      <c r="O106" s="45">
        <f t="shared" si="4"/>
        <v>659908.81000000006</v>
      </c>
      <c r="P106" s="45">
        <f>O106+1204570.86</f>
        <v>1864479.6700000002</v>
      </c>
    </row>
    <row r="107" spans="1:16" ht="18" x14ac:dyDescent="0.25">
      <c r="A107" s="40" t="s">
        <v>105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O107" s="41"/>
      <c r="P107" s="41"/>
    </row>
    <row r="108" spans="1:16" x14ac:dyDescent="0.25">
      <c r="A108" s="44" t="s">
        <v>97</v>
      </c>
      <c r="B108" s="45">
        <v>0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O108" s="45">
        <f t="shared" si="4"/>
        <v>0</v>
      </c>
      <c r="P108" s="45">
        <f>O108+0</f>
        <v>0</v>
      </c>
    </row>
    <row r="109" spans="1:16" ht="18" x14ac:dyDescent="0.25">
      <c r="A109" s="44" t="s">
        <v>102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O109" s="45">
        <f t="shared" si="4"/>
        <v>0</v>
      </c>
      <c r="P109" s="45">
        <f>O109+0</f>
        <v>0</v>
      </c>
    </row>
    <row r="110" spans="1:16" x14ac:dyDescent="0.25">
      <c r="A110" s="44" t="s">
        <v>88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O110" s="45">
        <f t="shared" si="4"/>
        <v>0</v>
      </c>
      <c r="P110" s="45">
        <f>O110+0</f>
        <v>0</v>
      </c>
    </row>
    <row r="111" spans="1:16" ht="18" x14ac:dyDescent="0.25">
      <c r="A111" s="40" t="s">
        <v>106</v>
      </c>
      <c r="B111" s="41">
        <v>0</v>
      </c>
      <c r="C111" s="41">
        <v>0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O111" s="41"/>
      <c r="P111" s="41"/>
    </row>
    <row r="112" spans="1:16" x14ac:dyDescent="0.25">
      <c r="A112" s="44" t="s">
        <v>97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O112" s="45">
        <f t="shared" si="4"/>
        <v>0</v>
      </c>
      <c r="P112" s="45">
        <f>O112+0</f>
        <v>0</v>
      </c>
    </row>
    <row r="113" spans="1:16" ht="18" x14ac:dyDescent="0.25">
      <c r="A113" s="44" t="s">
        <v>102</v>
      </c>
      <c r="B113" s="45">
        <v>0</v>
      </c>
      <c r="C113" s="45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O113" s="45">
        <f t="shared" si="4"/>
        <v>0</v>
      </c>
      <c r="P113" s="45">
        <f>O113+0</f>
        <v>0</v>
      </c>
    </row>
    <row r="114" spans="1:16" x14ac:dyDescent="0.25">
      <c r="A114" s="44" t="s">
        <v>88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O114" s="45">
        <f t="shared" si="4"/>
        <v>0</v>
      </c>
      <c r="P114" s="45">
        <f>O114+0</f>
        <v>0</v>
      </c>
    </row>
    <row r="115" spans="1:16" x14ac:dyDescent="0.2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O115" s="45"/>
      <c r="P115" s="45"/>
    </row>
    <row r="116" spans="1:16" x14ac:dyDescent="0.25">
      <c r="A116" s="53" t="s">
        <v>93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O116" s="41"/>
      <c r="P116" s="41"/>
    </row>
    <row r="117" spans="1:16" x14ac:dyDescent="0.25">
      <c r="A117" s="40" t="s">
        <v>87</v>
      </c>
      <c r="B117" s="41">
        <v>71.599999999999994</v>
      </c>
      <c r="C117" s="41">
        <v>72</v>
      </c>
      <c r="D117" s="41">
        <v>72</v>
      </c>
      <c r="E117" s="41">
        <v>72</v>
      </c>
      <c r="F117" s="41">
        <v>72</v>
      </c>
      <c r="G117" s="41">
        <v>72</v>
      </c>
      <c r="H117" s="41">
        <v>72</v>
      </c>
      <c r="I117" s="41">
        <v>72.2</v>
      </c>
      <c r="J117" s="41">
        <v>72</v>
      </c>
      <c r="K117" s="41">
        <v>72</v>
      </c>
      <c r="L117" s="41">
        <v>72</v>
      </c>
      <c r="M117" s="41">
        <v>72.400000000000006</v>
      </c>
      <c r="O117" s="41"/>
      <c r="P117" s="41"/>
    </row>
    <row r="118" spans="1:16" x14ac:dyDescent="0.25">
      <c r="A118" s="44" t="s">
        <v>97</v>
      </c>
      <c r="B118" s="45">
        <v>3561694.81</v>
      </c>
      <c r="C118" s="45">
        <v>3116984.3400000003</v>
      </c>
      <c r="D118" s="45">
        <v>3406963.13</v>
      </c>
      <c r="E118" s="45">
        <v>3110862.76</v>
      </c>
      <c r="F118" s="45">
        <v>3268338.59</v>
      </c>
      <c r="G118" s="45">
        <v>3434196.0900000003</v>
      </c>
      <c r="H118" s="45">
        <v>3632453.8600000003</v>
      </c>
      <c r="I118" s="45">
        <v>2985440.8</v>
      </c>
      <c r="J118" s="45">
        <v>3590799.55</v>
      </c>
      <c r="K118" s="45">
        <v>3135320.52</v>
      </c>
      <c r="L118" s="45">
        <v>3519793.12</v>
      </c>
      <c r="M118" s="45">
        <v>2461819</v>
      </c>
      <c r="O118" s="45">
        <f>SUM(B118:M118)</f>
        <v>39224666.57</v>
      </c>
      <c r="P118" s="45">
        <f>O118+78866945.49</f>
        <v>118091612.06</v>
      </c>
    </row>
    <row r="119" spans="1:16" ht="18" x14ac:dyDescent="0.25">
      <c r="A119" s="44" t="s">
        <v>102</v>
      </c>
      <c r="B119" s="45">
        <v>455115.17</v>
      </c>
      <c r="C119" s="45">
        <v>374038.11000000004</v>
      </c>
      <c r="D119" s="45">
        <v>408835.57</v>
      </c>
      <c r="E119" s="45">
        <v>373303.53</v>
      </c>
      <c r="F119" s="45">
        <v>392200.63</v>
      </c>
      <c r="G119" s="45">
        <v>412103.53</v>
      </c>
      <c r="H119" s="45">
        <v>435894.46</v>
      </c>
      <c r="I119" s="45">
        <v>358252.89</v>
      </c>
      <c r="J119" s="45">
        <v>430895.95</v>
      </c>
      <c r="K119" s="45">
        <v>376238.47</v>
      </c>
      <c r="L119" s="45">
        <v>422375.18000000005</v>
      </c>
      <c r="M119" s="45">
        <v>295418.28000000003</v>
      </c>
      <c r="O119" s="45">
        <f>SUM(B119:M119)</f>
        <v>4734671.7700000005</v>
      </c>
      <c r="P119" s="45">
        <f>O119+11041372.48</f>
        <v>15776044.25</v>
      </c>
    </row>
    <row r="120" spans="1:16" x14ac:dyDescent="0.25">
      <c r="A120" s="44" t="s">
        <v>88</v>
      </c>
      <c r="B120" s="45">
        <v>71233.900000000009</v>
      </c>
      <c r="C120" s="45">
        <v>62339.68</v>
      </c>
      <c r="D120" s="45">
        <v>68139.259999999995</v>
      </c>
      <c r="E120" s="45">
        <v>62217.250000000007</v>
      </c>
      <c r="F120" s="45">
        <v>65366.78</v>
      </c>
      <c r="G120" s="45">
        <v>68683.929999999993</v>
      </c>
      <c r="H120" s="45">
        <v>72649.08</v>
      </c>
      <c r="I120" s="45">
        <v>59708.829999999994</v>
      </c>
      <c r="J120" s="45">
        <v>71816.010000000009</v>
      </c>
      <c r="K120" s="45">
        <v>62706.42</v>
      </c>
      <c r="L120" s="45">
        <v>70395.87</v>
      </c>
      <c r="M120" s="45">
        <v>49236.399999999994</v>
      </c>
      <c r="O120" s="45">
        <f>SUM(B120:M120)</f>
        <v>784493.41</v>
      </c>
      <c r="P120" s="45">
        <f>O120+1577339.04</f>
        <v>2361832.4500000002</v>
      </c>
    </row>
    <row r="121" spans="1:16" ht="18" x14ac:dyDescent="0.25">
      <c r="A121" s="40" t="s">
        <v>103</v>
      </c>
      <c r="B121" s="41">
        <v>11</v>
      </c>
      <c r="C121" s="41">
        <v>11</v>
      </c>
      <c r="D121" s="41">
        <v>11</v>
      </c>
      <c r="E121" s="41">
        <v>11</v>
      </c>
      <c r="F121" s="41">
        <v>11</v>
      </c>
      <c r="G121" s="41">
        <v>11</v>
      </c>
      <c r="H121" s="41">
        <v>11</v>
      </c>
      <c r="I121" s="41">
        <v>11</v>
      </c>
      <c r="J121" s="41">
        <v>11</v>
      </c>
      <c r="K121" s="41">
        <v>11</v>
      </c>
      <c r="L121" s="41">
        <v>11</v>
      </c>
      <c r="M121" s="41">
        <v>10.199999999999999</v>
      </c>
      <c r="O121" s="41"/>
      <c r="P121" s="41"/>
    </row>
    <row r="122" spans="1:16" x14ac:dyDescent="0.25">
      <c r="A122" s="44" t="s">
        <v>97</v>
      </c>
      <c r="B122" s="45">
        <v>196948</v>
      </c>
      <c r="C122" s="45">
        <v>201519</v>
      </c>
      <c r="D122" s="45">
        <v>191828</v>
      </c>
      <c r="E122" s="45">
        <v>183791</v>
      </c>
      <c r="F122" s="45">
        <v>185145</v>
      </c>
      <c r="G122" s="45">
        <v>178682</v>
      </c>
      <c r="H122" s="45">
        <v>162674.01</v>
      </c>
      <c r="I122" s="45">
        <v>154452.25</v>
      </c>
      <c r="J122" s="45">
        <v>193666</v>
      </c>
      <c r="K122" s="45">
        <v>165044</v>
      </c>
      <c r="L122" s="45">
        <v>173836</v>
      </c>
      <c r="M122" s="45">
        <v>192777</v>
      </c>
      <c r="O122" s="45">
        <f>SUM(B122:M122)</f>
        <v>2180362.2599999998</v>
      </c>
      <c r="P122" s="45">
        <f>O122+6240718.32</f>
        <v>8421080.5800000001</v>
      </c>
    </row>
    <row r="123" spans="1:16" ht="18" x14ac:dyDescent="0.25">
      <c r="A123" s="44" t="s">
        <v>102</v>
      </c>
      <c r="B123" s="45">
        <v>25059.460000000003</v>
      </c>
      <c r="C123" s="45">
        <v>24182.280000000002</v>
      </c>
      <c r="D123" s="45">
        <v>23019.360000000001</v>
      </c>
      <c r="E123" s="45">
        <v>22054.92</v>
      </c>
      <c r="F123" s="45">
        <v>22217.4</v>
      </c>
      <c r="G123" s="45">
        <v>21441.84</v>
      </c>
      <c r="H123" s="45">
        <v>19520.88</v>
      </c>
      <c r="I123" s="45">
        <v>18534.269999999997</v>
      </c>
      <c r="J123" s="45">
        <v>23239.919999999998</v>
      </c>
      <c r="K123" s="45">
        <v>19805.280000000002</v>
      </c>
      <c r="L123" s="45">
        <v>20860.320000000003</v>
      </c>
      <c r="M123" s="45">
        <v>23133.239999999998</v>
      </c>
      <c r="O123" s="45">
        <f>SUM(B123:M123)</f>
        <v>263069.17000000004</v>
      </c>
      <c r="P123" s="45">
        <f>O123+873700.57</f>
        <v>1136769.74</v>
      </c>
    </row>
    <row r="124" spans="1:16" x14ac:dyDescent="0.25">
      <c r="A124" s="44" t="s">
        <v>88</v>
      </c>
      <c r="B124" s="45">
        <v>3938.9599999999996</v>
      </c>
      <c r="C124" s="45">
        <v>4030.38</v>
      </c>
      <c r="D124" s="45">
        <v>3836.56</v>
      </c>
      <c r="E124" s="45">
        <v>3675.8199999999997</v>
      </c>
      <c r="F124" s="45">
        <v>3702.9</v>
      </c>
      <c r="G124" s="45">
        <v>3573.6400000000003</v>
      </c>
      <c r="H124" s="45">
        <v>3253.4800000000005</v>
      </c>
      <c r="I124" s="45">
        <v>3089.05</v>
      </c>
      <c r="J124" s="45">
        <v>3873.32</v>
      </c>
      <c r="K124" s="45">
        <v>3300.88</v>
      </c>
      <c r="L124" s="45">
        <v>3476.7200000000003</v>
      </c>
      <c r="M124" s="45">
        <v>3855.54</v>
      </c>
      <c r="O124" s="45">
        <f>SUM(B124:M124)</f>
        <v>43607.25</v>
      </c>
      <c r="P124" s="45">
        <f>O124+124814.37</f>
        <v>168421.62</v>
      </c>
    </row>
    <row r="125" spans="1:16" ht="18" x14ac:dyDescent="0.25">
      <c r="A125" s="40" t="s">
        <v>104</v>
      </c>
      <c r="B125" s="41">
        <v>60.6</v>
      </c>
      <c r="C125" s="41">
        <v>61</v>
      </c>
      <c r="D125" s="41">
        <v>61</v>
      </c>
      <c r="E125" s="41">
        <v>61</v>
      </c>
      <c r="F125" s="41">
        <v>61</v>
      </c>
      <c r="G125" s="41">
        <v>61</v>
      </c>
      <c r="H125" s="41">
        <v>61</v>
      </c>
      <c r="I125" s="41">
        <v>61.2</v>
      </c>
      <c r="J125" s="41">
        <v>61</v>
      </c>
      <c r="K125" s="41">
        <v>61</v>
      </c>
      <c r="L125" s="41">
        <v>61</v>
      </c>
      <c r="M125" s="41">
        <v>62.2</v>
      </c>
      <c r="O125" s="41"/>
      <c r="P125" s="41"/>
    </row>
    <row r="126" spans="1:16" x14ac:dyDescent="0.25">
      <c r="A126" s="44" t="s">
        <v>97</v>
      </c>
      <c r="B126" s="45">
        <v>3364746.81</v>
      </c>
      <c r="C126" s="45">
        <v>2915465.3400000003</v>
      </c>
      <c r="D126" s="45">
        <v>3215135.13</v>
      </c>
      <c r="E126" s="45">
        <v>2927071.76</v>
      </c>
      <c r="F126" s="45">
        <v>3083193.59</v>
      </c>
      <c r="G126" s="45">
        <v>3255514.0900000003</v>
      </c>
      <c r="H126" s="45">
        <v>3469779.85</v>
      </c>
      <c r="I126" s="45">
        <v>2830988.55</v>
      </c>
      <c r="J126" s="45">
        <v>3397133.55</v>
      </c>
      <c r="K126" s="45">
        <v>2970276.52</v>
      </c>
      <c r="L126" s="45">
        <v>3345957.12</v>
      </c>
      <c r="M126" s="45">
        <v>2269042</v>
      </c>
      <c r="O126" s="45">
        <f t="shared" ref="O126:O136" si="5">SUM(B126:M126)</f>
        <v>37044304.310000002</v>
      </c>
      <c r="P126" s="45">
        <f>O126+72626227.17</f>
        <v>109670531.48</v>
      </c>
    </row>
    <row r="127" spans="1:16" ht="18" x14ac:dyDescent="0.25">
      <c r="A127" s="44" t="s">
        <v>102</v>
      </c>
      <c r="B127" s="45">
        <v>430055.70999999996</v>
      </c>
      <c r="C127" s="45">
        <v>349855.82999999996</v>
      </c>
      <c r="D127" s="45">
        <v>385816.20999999996</v>
      </c>
      <c r="E127" s="45">
        <v>351248.61</v>
      </c>
      <c r="F127" s="45">
        <v>369983.23</v>
      </c>
      <c r="G127" s="45">
        <v>390661.69</v>
      </c>
      <c r="H127" s="45">
        <v>416373.58</v>
      </c>
      <c r="I127" s="45">
        <v>339718.62</v>
      </c>
      <c r="J127" s="45">
        <v>407656.03</v>
      </c>
      <c r="K127" s="45">
        <v>356433.18999999994</v>
      </c>
      <c r="L127" s="45">
        <v>401514.86</v>
      </c>
      <c r="M127" s="45">
        <v>272285.04000000004</v>
      </c>
      <c r="O127" s="45">
        <f t="shared" si="5"/>
        <v>4471602.5999999996</v>
      </c>
      <c r="P127" s="45">
        <f>O127+10167671.91</f>
        <v>14639274.51</v>
      </c>
    </row>
    <row r="128" spans="1:16" x14ac:dyDescent="0.25">
      <c r="A128" s="44" t="s">
        <v>88</v>
      </c>
      <c r="B128" s="45">
        <v>67294.94</v>
      </c>
      <c r="C128" s="45">
        <v>58309.299999999988</v>
      </c>
      <c r="D128" s="45">
        <v>64302.700000000004</v>
      </c>
      <c r="E128" s="45">
        <v>58541.43</v>
      </c>
      <c r="F128" s="45">
        <v>61663.880000000005</v>
      </c>
      <c r="G128" s="45">
        <v>65110.289999999994</v>
      </c>
      <c r="H128" s="45">
        <v>69395.600000000006</v>
      </c>
      <c r="I128" s="45">
        <v>56619.779999999992</v>
      </c>
      <c r="J128" s="45">
        <v>67942.69</v>
      </c>
      <c r="K128" s="45">
        <v>59405.54</v>
      </c>
      <c r="L128" s="45">
        <v>66919.149999999994</v>
      </c>
      <c r="M128" s="45">
        <v>45380.86</v>
      </c>
      <c r="O128" s="45">
        <f t="shared" si="5"/>
        <v>740886.16</v>
      </c>
      <c r="P128" s="45">
        <f>O128+1452524.7</f>
        <v>2193410.86</v>
      </c>
    </row>
    <row r="129" spans="1:16" ht="18" x14ac:dyDescent="0.25">
      <c r="A129" s="40" t="s">
        <v>105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O129" s="41"/>
      <c r="P129" s="41"/>
    </row>
    <row r="130" spans="1:16" x14ac:dyDescent="0.25">
      <c r="A130" s="44" t="s">
        <v>97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O130" s="45">
        <f t="shared" si="5"/>
        <v>0</v>
      </c>
      <c r="P130" s="45">
        <f>O130+0</f>
        <v>0</v>
      </c>
    </row>
    <row r="131" spans="1:16" ht="18" x14ac:dyDescent="0.25">
      <c r="A131" s="44" t="s">
        <v>102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O131" s="45">
        <f t="shared" si="5"/>
        <v>0</v>
      </c>
      <c r="P131" s="45">
        <f>O131+0</f>
        <v>0</v>
      </c>
    </row>
    <row r="132" spans="1:16" x14ac:dyDescent="0.25">
      <c r="A132" s="44" t="s">
        <v>88</v>
      </c>
      <c r="B132" s="45">
        <v>0</v>
      </c>
      <c r="C132" s="45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O132" s="45">
        <f t="shared" si="5"/>
        <v>0</v>
      </c>
      <c r="P132" s="45">
        <f>O132+0</f>
        <v>0</v>
      </c>
    </row>
    <row r="133" spans="1:16" ht="18" x14ac:dyDescent="0.25">
      <c r="A133" s="40" t="s">
        <v>106</v>
      </c>
      <c r="B133" s="41">
        <v>0</v>
      </c>
      <c r="C133" s="41">
        <v>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O133" s="41"/>
      <c r="P133" s="41"/>
    </row>
    <row r="134" spans="1:16" x14ac:dyDescent="0.25">
      <c r="A134" s="44" t="s">
        <v>97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O134" s="45">
        <f t="shared" si="5"/>
        <v>0</v>
      </c>
      <c r="P134" s="45">
        <f>O134+0</f>
        <v>0</v>
      </c>
    </row>
    <row r="135" spans="1:16" ht="18" x14ac:dyDescent="0.25">
      <c r="A135" s="44" t="s">
        <v>102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O135" s="45">
        <f t="shared" si="5"/>
        <v>0</v>
      </c>
      <c r="P135" s="45">
        <f>O135+0</f>
        <v>0</v>
      </c>
    </row>
    <row r="136" spans="1:16" x14ac:dyDescent="0.25">
      <c r="A136" s="44" t="s">
        <v>88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O136" s="45">
        <f t="shared" si="5"/>
        <v>0</v>
      </c>
      <c r="P136" s="45">
        <f>O136+0</f>
        <v>0</v>
      </c>
    </row>
    <row r="137" spans="1:16" x14ac:dyDescent="0.25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O137" s="45"/>
      <c r="P137" s="45"/>
    </row>
    <row r="138" spans="1:16" x14ac:dyDescent="0.25">
      <c r="A138" s="53" t="s">
        <v>98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O138" s="45"/>
      <c r="P138" s="45"/>
    </row>
    <row r="139" spans="1:16" x14ac:dyDescent="0.25">
      <c r="A139" s="40" t="s">
        <v>87</v>
      </c>
      <c r="B139" s="41">
        <v>69.2</v>
      </c>
      <c r="C139" s="41">
        <v>70</v>
      </c>
      <c r="D139" s="41">
        <v>70</v>
      </c>
      <c r="E139" s="41">
        <v>69.599999999999994</v>
      </c>
      <c r="F139" s="41">
        <v>69</v>
      </c>
      <c r="G139" s="41">
        <v>69</v>
      </c>
      <c r="H139" s="41">
        <v>69</v>
      </c>
      <c r="I139" s="41">
        <v>69</v>
      </c>
      <c r="J139" s="41">
        <v>69</v>
      </c>
      <c r="K139" s="41">
        <v>69</v>
      </c>
      <c r="L139" s="41">
        <v>69</v>
      </c>
      <c r="M139" s="41">
        <v>69</v>
      </c>
      <c r="O139" s="41"/>
      <c r="P139" s="41"/>
    </row>
    <row r="140" spans="1:16" x14ac:dyDescent="0.25">
      <c r="A140" s="44" t="s">
        <v>97</v>
      </c>
      <c r="B140" s="45">
        <v>3132101.5</v>
      </c>
      <c r="C140" s="45">
        <v>3117356.5</v>
      </c>
      <c r="D140" s="45">
        <v>2994207.25</v>
      </c>
      <c r="E140" s="45">
        <v>2997069.5</v>
      </c>
      <c r="F140" s="45">
        <v>3041479</v>
      </c>
      <c r="G140" s="45">
        <v>3239106</v>
      </c>
      <c r="H140" s="45">
        <v>3162834.75</v>
      </c>
      <c r="I140" s="45">
        <v>2988970.5</v>
      </c>
      <c r="J140" s="45">
        <v>3589524.75</v>
      </c>
      <c r="K140" s="45">
        <v>3423756.25</v>
      </c>
      <c r="L140" s="45">
        <v>3296713</v>
      </c>
      <c r="M140" s="45">
        <v>2826922.25</v>
      </c>
      <c r="O140" s="45">
        <f>SUM(B140:M140)</f>
        <v>37810041.25</v>
      </c>
      <c r="P140" s="45">
        <f>O140+73528276.98</f>
        <v>111338318.23</v>
      </c>
    </row>
    <row r="141" spans="1:16" ht="18" x14ac:dyDescent="0.25">
      <c r="A141" s="44" t="s">
        <v>102</v>
      </c>
      <c r="B141" s="45">
        <v>400428.05</v>
      </c>
      <c r="C141" s="45">
        <v>374082.77999999997</v>
      </c>
      <c r="D141" s="45">
        <v>359304.87</v>
      </c>
      <c r="E141" s="45">
        <v>359648.33999999997</v>
      </c>
      <c r="F141" s="45">
        <v>364977.48000000004</v>
      </c>
      <c r="G141" s="45">
        <v>388692.72</v>
      </c>
      <c r="H141" s="45">
        <v>379540.17</v>
      </c>
      <c r="I141" s="45">
        <v>358676.45999999996</v>
      </c>
      <c r="J141" s="45">
        <v>430742.97</v>
      </c>
      <c r="K141" s="45">
        <v>410850.75</v>
      </c>
      <c r="L141" s="45">
        <v>395605.56</v>
      </c>
      <c r="M141" s="45">
        <v>339230.66999999993</v>
      </c>
      <c r="O141" s="45">
        <f>SUM(B141:M141)</f>
        <v>4561780.8199999994</v>
      </c>
      <c r="P141" s="45">
        <f>O141+10293958.98</f>
        <v>14855739.800000001</v>
      </c>
    </row>
    <row r="142" spans="1:16" x14ac:dyDescent="0.25">
      <c r="A142" s="44" t="s">
        <v>88</v>
      </c>
      <c r="B142" s="45">
        <v>62642.03</v>
      </c>
      <c r="C142" s="45">
        <v>62347.15</v>
      </c>
      <c r="D142" s="45">
        <v>59884.130000000005</v>
      </c>
      <c r="E142" s="45">
        <v>59941.409999999996</v>
      </c>
      <c r="F142" s="45">
        <v>60829.600000000006</v>
      </c>
      <c r="G142" s="45">
        <v>64782.14</v>
      </c>
      <c r="H142" s="45">
        <v>63256.709999999992</v>
      </c>
      <c r="I142" s="45">
        <v>59779.42</v>
      </c>
      <c r="J142" s="45">
        <v>71790.5</v>
      </c>
      <c r="K142" s="45">
        <v>68475.14</v>
      </c>
      <c r="L142" s="45">
        <v>65934.26999999999</v>
      </c>
      <c r="M142" s="45">
        <v>56538.45</v>
      </c>
      <c r="O142" s="45">
        <f>SUM(B142:M142)</f>
        <v>756200.95000000007</v>
      </c>
      <c r="P142" s="45">
        <f>O142+1470565.74</f>
        <v>2226766.69</v>
      </c>
    </row>
    <row r="143" spans="1:16" ht="18" x14ac:dyDescent="0.25">
      <c r="A143" s="40" t="s">
        <v>103</v>
      </c>
      <c r="B143" s="41">
        <v>16</v>
      </c>
      <c r="C143" s="41">
        <v>16</v>
      </c>
      <c r="D143" s="41">
        <v>16</v>
      </c>
      <c r="E143" s="41">
        <v>16</v>
      </c>
      <c r="F143" s="41">
        <v>16</v>
      </c>
      <c r="G143" s="41">
        <v>16</v>
      </c>
      <c r="H143" s="41">
        <v>16</v>
      </c>
      <c r="I143" s="41">
        <v>16</v>
      </c>
      <c r="J143" s="41">
        <v>16</v>
      </c>
      <c r="K143" s="41">
        <v>16</v>
      </c>
      <c r="L143" s="41">
        <v>16</v>
      </c>
      <c r="M143" s="41">
        <v>16</v>
      </c>
      <c r="O143" s="41"/>
      <c r="P143" s="41"/>
    </row>
    <row r="144" spans="1:16" x14ac:dyDescent="0.25">
      <c r="A144" s="44" t="s">
        <v>97</v>
      </c>
      <c r="B144" s="45">
        <v>402728</v>
      </c>
      <c r="C144" s="45">
        <v>386752</v>
      </c>
      <c r="D144" s="45">
        <v>346191</v>
      </c>
      <c r="E144" s="45">
        <v>334431</v>
      </c>
      <c r="F144" s="45">
        <v>362776</v>
      </c>
      <c r="G144" s="45">
        <v>372977</v>
      </c>
      <c r="H144" s="45">
        <v>352100</v>
      </c>
      <c r="I144" s="45">
        <v>363246</v>
      </c>
      <c r="J144" s="45">
        <v>414177</v>
      </c>
      <c r="K144" s="45">
        <v>344015</v>
      </c>
      <c r="L144" s="45">
        <v>342421</v>
      </c>
      <c r="M144" s="45">
        <v>299094</v>
      </c>
      <c r="O144" s="45">
        <f>SUM(B144:M144)</f>
        <v>4320908</v>
      </c>
      <c r="P144" s="45">
        <f>O144+9464091</f>
        <v>13784999</v>
      </c>
    </row>
    <row r="145" spans="1:16" ht="18" x14ac:dyDescent="0.25">
      <c r="A145" s="44" t="s">
        <v>102</v>
      </c>
      <c r="B145" s="45">
        <v>51305.8</v>
      </c>
      <c r="C145" s="45">
        <v>46410.239999999998</v>
      </c>
      <c r="D145" s="45">
        <v>41542.92</v>
      </c>
      <c r="E145" s="45">
        <v>40131.72</v>
      </c>
      <c r="F145" s="45">
        <v>43533.119999999995</v>
      </c>
      <c r="G145" s="45">
        <v>44757.240000000005</v>
      </c>
      <c r="H145" s="45">
        <v>42252</v>
      </c>
      <c r="I145" s="45">
        <v>43589.52</v>
      </c>
      <c r="J145" s="45">
        <v>49701.240000000005</v>
      </c>
      <c r="K145" s="45">
        <v>41281.800000000003</v>
      </c>
      <c r="L145" s="45">
        <v>41090.519999999997</v>
      </c>
      <c r="M145" s="45">
        <v>35891.279999999999</v>
      </c>
      <c r="O145" s="45">
        <f>SUM(B145:M145)</f>
        <v>521487.4</v>
      </c>
      <c r="P145" s="45">
        <f>O145+1324972.74</f>
        <v>1846460.1400000001</v>
      </c>
    </row>
    <row r="146" spans="1:16" x14ac:dyDescent="0.25">
      <c r="A146" s="44" t="s">
        <v>88</v>
      </c>
      <c r="B146" s="45">
        <v>8054.55</v>
      </c>
      <c r="C146" s="45">
        <v>7735.0400000000009</v>
      </c>
      <c r="D146" s="45">
        <v>6923.8200000000006</v>
      </c>
      <c r="E146" s="45">
        <v>6688.62</v>
      </c>
      <c r="F146" s="45">
        <v>7255.5199999999995</v>
      </c>
      <c r="G146" s="45">
        <v>7459.54</v>
      </c>
      <c r="H146" s="45">
        <v>7042.0000000000009</v>
      </c>
      <c r="I146" s="45">
        <v>7264.92</v>
      </c>
      <c r="J146" s="45">
        <v>8283.5400000000009</v>
      </c>
      <c r="K146" s="45">
        <v>6880.3</v>
      </c>
      <c r="L146" s="45">
        <v>6848.42</v>
      </c>
      <c r="M146" s="45">
        <v>5981.88</v>
      </c>
      <c r="O146" s="45">
        <f>SUM(B146:M146)</f>
        <v>86418.15</v>
      </c>
      <c r="P146" s="45">
        <f>O146+189281.82</f>
        <v>275699.96999999997</v>
      </c>
    </row>
    <row r="147" spans="1:16" ht="18" x14ac:dyDescent="0.25">
      <c r="A147" s="40" t="s">
        <v>104</v>
      </c>
      <c r="B147" s="41">
        <v>53</v>
      </c>
      <c r="C147" s="41">
        <v>53</v>
      </c>
      <c r="D147" s="41">
        <v>53</v>
      </c>
      <c r="E147" s="41">
        <v>53</v>
      </c>
      <c r="F147" s="41">
        <v>53</v>
      </c>
      <c r="G147" s="41">
        <v>53</v>
      </c>
      <c r="H147" s="41">
        <v>53</v>
      </c>
      <c r="I147" s="41">
        <v>53</v>
      </c>
      <c r="J147" s="41">
        <v>53</v>
      </c>
      <c r="K147" s="41">
        <v>53</v>
      </c>
      <c r="L147" s="41">
        <v>53</v>
      </c>
      <c r="M147" s="41">
        <v>53</v>
      </c>
      <c r="O147" s="41"/>
      <c r="P147" s="41"/>
    </row>
    <row r="148" spans="1:16" x14ac:dyDescent="0.25">
      <c r="A148" s="44" t="s">
        <v>97</v>
      </c>
      <c r="B148" s="45">
        <v>2697244.5</v>
      </c>
      <c r="C148" s="45">
        <v>2699019.5</v>
      </c>
      <c r="D148" s="45">
        <v>2642899.25</v>
      </c>
      <c r="E148" s="45">
        <v>2658758.5</v>
      </c>
      <c r="F148" s="45">
        <v>2678703</v>
      </c>
      <c r="G148" s="45">
        <v>2866129</v>
      </c>
      <c r="H148" s="45">
        <v>2810734.75</v>
      </c>
      <c r="I148" s="45">
        <v>2625724.5</v>
      </c>
      <c r="J148" s="45">
        <v>3175347.75</v>
      </c>
      <c r="K148" s="45">
        <v>3079741.25</v>
      </c>
      <c r="L148" s="45">
        <v>2954292</v>
      </c>
      <c r="M148" s="45">
        <v>2527828.25</v>
      </c>
      <c r="O148" s="45">
        <f t="shared" ref="O148:O158" si="6">SUM(B148:M148)</f>
        <v>33416422.25</v>
      </c>
      <c r="P148" s="45">
        <f>O148+64064185.98</f>
        <v>97480608.229999989</v>
      </c>
    </row>
    <row r="149" spans="1:16" ht="18" x14ac:dyDescent="0.25">
      <c r="A149" s="44" t="s">
        <v>102</v>
      </c>
      <c r="B149" s="45">
        <v>345266.77</v>
      </c>
      <c r="C149" s="45">
        <v>323882.33999999997</v>
      </c>
      <c r="D149" s="45">
        <v>317147.91000000003</v>
      </c>
      <c r="E149" s="45">
        <v>319051.02</v>
      </c>
      <c r="F149" s="45">
        <v>321444.36</v>
      </c>
      <c r="G149" s="45">
        <v>343935.48</v>
      </c>
      <c r="H149" s="45">
        <v>337288.17</v>
      </c>
      <c r="I149" s="45">
        <v>315086.94</v>
      </c>
      <c r="J149" s="45">
        <v>381041.73</v>
      </c>
      <c r="K149" s="45">
        <v>369568.94999999995</v>
      </c>
      <c r="L149" s="45">
        <v>354515.04000000004</v>
      </c>
      <c r="M149" s="45">
        <v>303339.38999999996</v>
      </c>
      <c r="O149" s="45">
        <f t="shared" si="6"/>
        <v>4031568.1</v>
      </c>
      <c r="P149" s="45">
        <f>O149+8968986.24</f>
        <v>13000554.34</v>
      </c>
    </row>
    <row r="150" spans="1:16" x14ac:dyDescent="0.25">
      <c r="A150" s="44" t="s">
        <v>88</v>
      </c>
      <c r="B150" s="45">
        <v>53944.9</v>
      </c>
      <c r="C150" s="45">
        <v>53980.409999999996</v>
      </c>
      <c r="D150" s="45">
        <v>52857.97</v>
      </c>
      <c r="E150" s="45">
        <v>53175.19</v>
      </c>
      <c r="F150" s="45">
        <v>53574.080000000002</v>
      </c>
      <c r="G150" s="45">
        <v>57322.6</v>
      </c>
      <c r="H150" s="45">
        <v>56214.71</v>
      </c>
      <c r="I150" s="45">
        <v>52514.5</v>
      </c>
      <c r="J150" s="45">
        <v>63506.96</v>
      </c>
      <c r="K150" s="45">
        <v>61594.840000000004</v>
      </c>
      <c r="L150" s="45">
        <v>59085.85</v>
      </c>
      <c r="M150" s="45">
        <v>50556.57</v>
      </c>
      <c r="O150" s="45">
        <f t="shared" si="6"/>
        <v>668328.57999999996</v>
      </c>
      <c r="P150" s="45">
        <f>O150+1281283.92</f>
        <v>1949612.5</v>
      </c>
    </row>
    <row r="151" spans="1:16" ht="18" x14ac:dyDescent="0.25">
      <c r="A151" s="40" t="s">
        <v>105</v>
      </c>
      <c r="B151" s="41">
        <v>0</v>
      </c>
      <c r="C151" s="41">
        <v>1</v>
      </c>
      <c r="D151" s="41">
        <v>1</v>
      </c>
      <c r="E151" s="41">
        <v>0.6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O151" s="41"/>
      <c r="P151" s="41"/>
    </row>
    <row r="152" spans="1:16" x14ac:dyDescent="0.25">
      <c r="A152" s="44" t="s">
        <v>97</v>
      </c>
      <c r="B152" s="45">
        <v>32129</v>
      </c>
      <c r="C152" s="45">
        <v>31585</v>
      </c>
      <c r="D152" s="45">
        <v>5117</v>
      </c>
      <c r="E152" s="45">
        <v>3880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O152" s="45">
        <f t="shared" si="6"/>
        <v>72711</v>
      </c>
      <c r="P152" s="45">
        <f>O152+0</f>
        <v>72711</v>
      </c>
    </row>
    <row r="153" spans="1:16" ht="18" x14ac:dyDescent="0.25">
      <c r="A153" s="44" t="s">
        <v>102</v>
      </c>
      <c r="B153" s="45">
        <v>3855.48</v>
      </c>
      <c r="C153" s="45">
        <v>3790.2</v>
      </c>
      <c r="D153" s="45">
        <v>614.04</v>
      </c>
      <c r="E153" s="45">
        <v>465.6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O153" s="45">
        <f t="shared" si="6"/>
        <v>8725.3200000000015</v>
      </c>
      <c r="P153" s="45">
        <f>O153+0</f>
        <v>8725.3200000000015</v>
      </c>
    </row>
    <row r="154" spans="1:16" x14ac:dyDescent="0.25">
      <c r="A154" s="44" t="s">
        <v>88</v>
      </c>
      <c r="B154" s="45">
        <v>642.58000000000004</v>
      </c>
      <c r="C154" s="45">
        <v>631.70000000000005</v>
      </c>
      <c r="D154" s="45">
        <v>102.34</v>
      </c>
      <c r="E154" s="45">
        <v>77.599999999999994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O154" s="45">
        <f t="shared" si="6"/>
        <v>1454.22</v>
      </c>
      <c r="P154" s="45">
        <f>O154+0</f>
        <v>1454.22</v>
      </c>
    </row>
    <row r="155" spans="1:16" ht="18" x14ac:dyDescent="0.25">
      <c r="A155" s="40" t="s">
        <v>106</v>
      </c>
      <c r="B155" s="41">
        <v>0</v>
      </c>
      <c r="C155" s="41">
        <v>0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O155" s="41"/>
      <c r="P155" s="41"/>
    </row>
    <row r="156" spans="1:16" x14ac:dyDescent="0.25">
      <c r="A156" s="44" t="s">
        <v>97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O156" s="45">
        <f t="shared" si="6"/>
        <v>0</v>
      </c>
      <c r="P156" s="45">
        <f>O156+0</f>
        <v>0</v>
      </c>
    </row>
    <row r="157" spans="1:16" ht="18" x14ac:dyDescent="0.25">
      <c r="A157" s="44" t="s">
        <v>102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O157" s="45">
        <f t="shared" si="6"/>
        <v>0</v>
      </c>
      <c r="P157" s="45">
        <f>O157+0</f>
        <v>0</v>
      </c>
    </row>
    <row r="158" spans="1:16" x14ac:dyDescent="0.25">
      <c r="A158" s="44" t="s">
        <v>88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O158" s="45">
        <f t="shared" si="6"/>
        <v>0</v>
      </c>
      <c r="P158" s="45">
        <f>O158+0</f>
        <v>0</v>
      </c>
    </row>
    <row r="159" spans="1:16" x14ac:dyDescent="0.25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O159" s="45"/>
      <c r="P159" s="45"/>
    </row>
    <row r="160" spans="1:16" x14ac:dyDescent="0.25">
      <c r="A160" s="53" t="s">
        <v>94</v>
      </c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O160" s="45"/>
      <c r="P160" s="45"/>
    </row>
    <row r="161" spans="1:16" x14ac:dyDescent="0.25">
      <c r="A161" s="40" t="s">
        <v>87</v>
      </c>
      <c r="B161" s="41">
        <v>152</v>
      </c>
      <c r="C161" s="41">
        <v>152</v>
      </c>
      <c r="D161" s="41">
        <v>152</v>
      </c>
      <c r="E161" s="41">
        <v>152</v>
      </c>
      <c r="F161" s="41">
        <v>152</v>
      </c>
      <c r="G161" s="41">
        <v>152</v>
      </c>
      <c r="H161" s="41">
        <v>161.80000000000001</v>
      </c>
      <c r="I161" s="41">
        <v>183</v>
      </c>
      <c r="J161" s="41">
        <v>183</v>
      </c>
      <c r="K161" s="41">
        <v>183</v>
      </c>
      <c r="L161" s="41">
        <v>183</v>
      </c>
      <c r="M161" s="41">
        <v>183</v>
      </c>
      <c r="O161" s="41"/>
      <c r="P161" s="41"/>
    </row>
    <row r="162" spans="1:16" x14ac:dyDescent="0.25">
      <c r="A162" s="44" t="s">
        <v>97</v>
      </c>
      <c r="B162" s="45">
        <v>12490727.739999998</v>
      </c>
      <c r="C162" s="45">
        <v>14183868.35</v>
      </c>
      <c r="D162" s="45">
        <v>13584513.109999999</v>
      </c>
      <c r="E162" s="45">
        <v>12788177.439999998</v>
      </c>
      <c r="F162" s="45">
        <v>12766447.82</v>
      </c>
      <c r="G162" s="45">
        <v>13483330.729999999</v>
      </c>
      <c r="H162" s="45">
        <v>13970222.279999999</v>
      </c>
      <c r="I162" s="45">
        <v>12060000.949999999</v>
      </c>
      <c r="J162" s="45">
        <v>15347672.210000001</v>
      </c>
      <c r="K162" s="45">
        <v>13932559.729999999</v>
      </c>
      <c r="L162" s="45">
        <v>13812613.939999999</v>
      </c>
      <c r="M162" s="45">
        <v>16957942.740000002</v>
      </c>
      <c r="O162" s="45">
        <f>SUM(B162:M162)</f>
        <v>165378077.03999999</v>
      </c>
      <c r="P162" s="45">
        <f>O162+200945606.27</f>
        <v>366323683.31</v>
      </c>
    </row>
    <row r="163" spans="1:16" ht="18" x14ac:dyDescent="0.25">
      <c r="A163" s="44" t="s">
        <v>102</v>
      </c>
      <c r="B163" s="45">
        <v>1629300.8800000001</v>
      </c>
      <c r="C163" s="45">
        <v>1702064.21</v>
      </c>
      <c r="D163" s="45">
        <v>1630141.58</v>
      </c>
      <c r="E163" s="45">
        <v>1534581.28</v>
      </c>
      <c r="F163" s="45">
        <v>1531973.74</v>
      </c>
      <c r="G163" s="45">
        <v>1617999.68</v>
      </c>
      <c r="H163" s="45">
        <v>1676426.68</v>
      </c>
      <c r="I163" s="45">
        <v>1447200.12</v>
      </c>
      <c r="J163" s="45">
        <v>1841720.6599999997</v>
      </c>
      <c r="K163" s="45">
        <v>1671907.17</v>
      </c>
      <c r="L163" s="45">
        <v>1657513.6700000002</v>
      </c>
      <c r="M163" s="45">
        <v>2034953.12</v>
      </c>
      <c r="O163" s="45">
        <f>SUM(B163:M163)</f>
        <v>19975782.790000003</v>
      </c>
      <c r="P163" s="45">
        <f>O163+28132384.94</f>
        <v>48108167.730000004</v>
      </c>
    </row>
    <row r="164" spans="1:16" x14ac:dyDescent="0.25">
      <c r="A164" s="44" t="s">
        <v>88</v>
      </c>
      <c r="B164" s="45">
        <v>249814.57</v>
      </c>
      <c r="C164" s="45">
        <v>283677.34999999998</v>
      </c>
      <c r="D164" s="45">
        <v>271690.27</v>
      </c>
      <c r="E164" s="45">
        <v>255763.54</v>
      </c>
      <c r="F164" s="45">
        <v>255328.96999999997</v>
      </c>
      <c r="G164" s="45">
        <v>269666.62999999995</v>
      </c>
      <c r="H164" s="45">
        <v>279404.44</v>
      </c>
      <c r="I164" s="45">
        <v>241200.02</v>
      </c>
      <c r="J164" s="45">
        <v>306953.44999999995</v>
      </c>
      <c r="K164" s="45">
        <v>278651.19999999995</v>
      </c>
      <c r="L164" s="45">
        <v>276252.28999999998</v>
      </c>
      <c r="M164" s="45">
        <v>339158.85</v>
      </c>
      <c r="O164" s="45">
        <f>SUM(B164:M164)</f>
        <v>3307561.5799999996</v>
      </c>
      <c r="P164" s="45">
        <f>O164+4018912.22</f>
        <v>7326473.7999999998</v>
      </c>
    </row>
    <row r="165" spans="1:16" ht="18" x14ac:dyDescent="0.25">
      <c r="A165" s="40" t="s">
        <v>103</v>
      </c>
      <c r="B165" s="41">
        <v>30</v>
      </c>
      <c r="C165" s="41">
        <v>30</v>
      </c>
      <c r="D165" s="41">
        <v>30</v>
      </c>
      <c r="E165" s="41">
        <v>30</v>
      </c>
      <c r="F165" s="41">
        <v>30</v>
      </c>
      <c r="G165" s="41">
        <v>30</v>
      </c>
      <c r="H165" s="41">
        <v>31.2</v>
      </c>
      <c r="I165" s="41">
        <v>36</v>
      </c>
      <c r="J165" s="41">
        <v>36</v>
      </c>
      <c r="K165" s="41">
        <v>36</v>
      </c>
      <c r="L165" s="41">
        <v>36</v>
      </c>
      <c r="M165" s="41">
        <v>36</v>
      </c>
      <c r="O165" s="41"/>
      <c r="P165" s="41"/>
    </row>
    <row r="166" spans="1:16" x14ac:dyDescent="0.25">
      <c r="A166" s="44" t="s">
        <v>97</v>
      </c>
      <c r="B166" s="45">
        <v>1014371</v>
      </c>
      <c r="C166" s="45">
        <v>910284</v>
      </c>
      <c r="D166" s="45">
        <v>830197</v>
      </c>
      <c r="E166" s="45">
        <v>849242</v>
      </c>
      <c r="F166" s="45">
        <v>893019</v>
      </c>
      <c r="G166" s="45">
        <v>1037967</v>
      </c>
      <c r="H166" s="45">
        <v>984040</v>
      </c>
      <c r="I166" s="45">
        <v>937133</v>
      </c>
      <c r="J166" s="45">
        <v>1181388</v>
      </c>
      <c r="K166" s="45">
        <v>902643</v>
      </c>
      <c r="L166" s="45">
        <v>941495</v>
      </c>
      <c r="M166" s="45">
        <v>846383</v>
      </c>
      <c r="O166" s="45">
        <f>SUM(B166:M166)</f>
        <v>11328162</v>
      </c>
      <c r="P166" s="45">
        <f>O166+18582941</f>
        <v>29911103</v>
      </c>
    </row>
    <row r="167" spans="1:16" ht="18" x14ac:dyDescent="0.25">
      <c r="A167" s="44" t="s">
        <v>102</v>
      </c>
      <c r="B167" s="45">
        <v>133282.52000000002</v>
      </c>
      <c r="C167" s="45">
        <v>109234.08</v>
      </c>
      <c r="D167" s="45">
        <v>99623.64</v>
      </c>
      <c r="E167" s="45">
        <v>101909.04</v>
      </c>
      <c r="F167" s="45">
        <v>107162.28</v>
      </c>
      <c r="G167" s="45">
        <v>124556.04000000002</v>
      </c>
      <c r="H167" s="45">
        <v>118084.8</v>
      </c>
      <c r="I167" s="45">
        <v>112455.95999999999</v>
      </c>
      <c r="J167" s="45">
        <v>141766.56</v>
      </c>
      <c r="K167" s="45">
        <v>108317.16</v>
      </c>
      <c r="L167" s="45">
        <v>112979.4</v>
      </c>
      <c r="M167" s="45">
        <v>101565.95999999999</v>
      </c>
      <c r="O167" s="45">
        <f>SUM(B167:M167)</f>
        <v>1370937.44</v>
      </c>
      <c r="P167" s="45">
        <f>O167+2601611.74</f>
        <v>3972549.18</v>
      </c>
    </row>
    <row r="168" spans="1:16" x14ac:dyDescent="0.25">
      <c r="A168" s="44" t="s">
        <v>88</v>
      </c>
      <c r="B168" s="45">
        <v>20287.420000000002</v>
      </c>
      <c r="C168" s="45">
        <v>18205.679999999997</v>
      </c>
      <c r="D168" s="45">
        <v>16603.940000000002</v>
      </c>
      <c r="E168" s="45">
        <v>16984.84</v>
      </c>
      <c r="F168" s="45">
        <v>17860.38</v>
      </c>
      <c r="G168" s="45">
        <v>20759.34</v>
      </c>
      <c r="H168" s="45">
        <v>19680.800000000003</v>
      </c>
      <c r="I168" s="45">
        <v>18742.66</v>
      </c>
      <c r="J168" s="45">
        <v>23627.760000000002</v>
      </c>
      <c r="K168" s="45">
        <v>18052.86</v>
      </c>
      <c r="L168" s="45">
        <v>18829.900000000001</v>
      </c>
      <c r="M168" s="45">
        <v>16927.66</v>
      </c>
      <c r="O168" s="45">
        <f>SUM(B168:M168)</f>
        <v>226563.24</v>
      </c>
      <c r="P168" s="45">
        <f>O168+371658.82</f>
        <v>598222.06000000006</v>
      </c>
    </row>
    <row r="169" spans="1:16" ht="18" x14ac:dyDescent="0.25">
      <c r="A169" s="40" t="s">
        <v>104</v>
      </c>
      <c r="B169" s="41">
        <v>122</v>
      </c>
      <c r="C169" s="41">
        <v>122</v>
      </c>
      <c r="D169" s="41">
        <v>122</v>
      </c>
      <c r="E169" s="41">
        <v>122</v>
      </c>
      <c r="F169" s="41">
        <v>122</v>
      </c>
      <c r="G169" s="41">
        <v>122</v>
      </c>
      <c r="H169" s="41">
        <v>130.6</v>
      </c>
      <c r="I169" s="41">
        <v>147</v>
      </c>
      <c r="J169" s="41">
        <v>147</v>
      </c>
      <c r="K169" s="41">
        <v>147</v>
      </c>
      <c r="L169" s="41">
        <v>147</v>
      </c>
      <c r="M169" s="41">
        <v>147</v>
      </c>
      <c r="O169" s="41"/>
      <c r="P169" s="41"/>
    </row>
    <row r="170" spans="1:16" x14ac:dyDescent="0.25">
      <c r="A170" s="44" t="s">
        <v>97</v>
      </c>
      <c r="B170" s="45">
        <v>11476356.739999998</v>
      </c>
      <c r="C170" s="45">
        <v>13273584.35</v>
      </c>
      <c r="D170" s="45">
        <v>12754316.109999999</v>
      </c>
      <c r="E170" s="45">
        <v>11938935.439999998</v>
      </c>
      <c r="F170" s="45">
        <v>11873428.82</v>
      </c>
      <c r="G170" s="45">
        <v>12445363.729999999</v>
      </c>
      <c r="H170" s="45">
        <v>12986182.279999999</v>
      </c>
      <c r="I170" s="45">
        <v>11122867.949999999</v>
      </c>
      <c r="J170" s="45">
        <v>14166284.210000001</v>
      </c>
      <c r="K170" s="45">
        <v>13029916.729999999</v>
      </c>
      <c r="L170" s="45">
        <v>12871118.939999999</v>
      </c>
      <c r="M170" s="45">
        <v>16111559.74</v>
      </c>
      <c r="O170" s="45">
        <f t="shared" ref="O170:O180" si="7">SUM(B170:M170)</f>
        <v>154049915.04000002</v>
      </c>
      <c r="P170" s="45">
        <f>O170+182362665.27</f>
        <v>336412580.31000006</v>
      </c>
    </row>
    <row r="171" spans="1:16" ht="18" x14ac:dyDescent="0.25">
      <c r="A171" s="44" t="s">
        <v>102</v>
      </c>
      <c r="B171" s="45">
        <v>1496018.36</v>
      </c>
      <c r="C171" s="45">
        <v>1592830.13</v>
      </c>
      <c r="D171" s="45">
        <v>1530517.94</v>
      </c>
      <c r="E171" s="45">
        <v>1432672.24</v>
      </c>
      <c r="F171" s="45">
        <v>1424811.46</v>
      </c>
      <c r="G171" s="45">
        <v>1493443.6400000004</v>
      </c>
      <c r="H171" s="45">
        <v>1558341.88</v>
      </c>
      <c r="I171" s="45">
        <v>1334744.1599999999</v>
      </c>
      <c r="J171" s="45">
        <v>1699954.0999999999</v>
      </c>
      <c r="K171" s="45">
        <v>1563590.01</v>
      </c>
      <c r="L171" s="45">
        <v>1544534.27</v>
      </c>
      <c r="M171" s="45">
        <v>1933387.1600000001</v>
      </c>
      <c r="O171" s="45">
        <f t="shared" si="7"/>
        <v>18604845.349999998</v>
      </c>
      <c r="P171" s="45">
        <f>O171+25530773.2</f>
        <v>44135618.549999997</v>
      </c>
    </row>
    <row r="172" spans="1:16" x14ac:dyDescent="0.25">
      <c r="A172" s="44" t="s">
        <v>88</v>
      </c>
      <c r="B172" s="45">
        <v>229527.15</v>
      </c>
      <c r="C172" s="45">
        <v>265471.67</v>
      </c>
      <c r="D172" s="45">
        <v>255086.33</v>
      </c>
      <c r="E172" s="45">
        <v>238778.69999999998</v>
      </c>
      <c r="F172" s="45">
        <v>237468.59000000003</v>
      </c>
      <c r="G172" s="45">
        <v>248907.28999999998</v>
      </c>
      <c r="H172" s="45">
        <v>259723.64</v>
      </c>
      <c r="I172" s="45">
        <v>222457.36000000002</v>
      </c>
      <c r="J172" s="45">
        <v>283325.68999999994</v>
      </c>
      <c r="K172" s="45">
        <v>260598.34</v>
      </c>
      <c r="L172" s="45">
        <v>257422.39000000004</v>
      </c>
      <c r="M172" s="45">
        <v>322231.19</v>
      </c>
      <c r="O172" s="45">
        <f t="shared" si="7"/>
        <v>3080998.34</v>
      </c>
      <c r="P172" s="45">
        <f>O172+3647253.4</f>
        <v>6728251.7400000002</v>
      </c>
    </row>
    <row r="173" spans="1:16" ht="18" x14ac:dyDescent="0.25">
      <c r="A173" s="40" t="s">
        <v>105</v>
      </c>
      <c r="B173" s="41">
        <v>0</v>
      </c>
      <c r="C173" s="41">
        <v>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O173" s="41"/>
      <c r="P173" s="41"/>
    </row>
    <row r="174" spans="1:16" x14ac:dyDescent="0.25">
      <c r="A174" s="44" t="s">
        <v>97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O174" s="45">
        <f t="shared" si="7"/>
        <v>0</v>
      </c>
      <c r="P174" s="45">
        <f>O174+0</f>
        <v>0</v>
      </c>
    </row>
    <row r="175" spans="1:16" ht="18" x14ac:dyDescent="0.25">
      <c r="A175" s="44" t="s">
        <v>102</v>
      </c>
      <c r="B175" s="45">
        <v>0</v>
      </c>
      <c r="C175" s="45">
        <v>0</v>
      </c>
      <c r="D175" s="45">
        <v>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O175" s="45">
        <f t="shared" si="7"/>
        <v>0</v>
      </c>
      <c r="P175" s="45">
        <f>O175+0</f>
        <v>0</v>
      </c>
    </row>
    <row r="176" spans="1:16" x14ac:dyDescent="0.25">
      <c r="A176" s="44" t="s">
        <v>88</v>
      </c>
      <c r="B176" s="45">
        <v>0</v>
      </c>
      <c r="C176" s="45">
        <v>0</v>
      </c>
      <c r="D176" s="45">
        <v>0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5">
        <v>0</v>
      </c>
      <c r="O176" s="45">
        <f t="shared" si="7"/>
        <v>0</v>
      </c>
      <c r="P176" s="45">
        <f>O176+0</f>
        <v>0</v>
      </c>
    </row>
    <row r="177" spans="1:16" ht="18" x14ac:dyDescent="0.25">
      <c r="A177" s="40" t="s">
        <v>106</v>
      </c>
      <c r="B177" s="41">
        <v>0</v>
      </c>
      <c r="C177" s="41">
        <v>0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O177" s="41"/>
      <c r="P177" s="41"/>
    </row>
    <row r="178" spans="1:16" x14ac:dyDescent="0.25">
      <c r="A178" s="44" t="s">
        <v>97</v>
      </c>
      <c r="B178" s="45">
        <v>0</v>
      </c>
      <c r="C178" s="45">
        <v>0</v>
      </c>
      <c r="D178" s="45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5">
        <v>0</v>
      </c>
      <c r="O178" s="45">
        <f t="shared" si="7"/>
        <v>0</v>
      </c>
      <c r="P178" s="45">
        <f>O178+0</f>
        <v>0</v>
      </c>
    </row>
    <row r="179" spans="1:16" ht="18" x14ac:dyDescent="0.25">
      <c r="A179" s="44" t="s">
        <v>102</v>
      </c>
      <c r="B179" s="45">
        <v>0</v>
      </c>
      <c r="C179" s="45">
        <v>0</v>
      </c>
      <c r="D179" s="45">
        <v>0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45">
        <v>0</v>
      </c>
      <c r="O179" s="45">
        <f t="shared" si="7"/>
        <v>0</v>
      </c>
      <c r="P179" s="45">
        <f>O179+0</f>
        <v>0</v>
      </c>
    </row>
    <row r="180" spans="1:16" x14ac:dyDescent="0.25">
      <c r="A180" s="44" t="s">
        <v>88</v>
      </c>
      <c r="B180" s="45">
        <v>0</v>
      </c>
      <c r="C180" s="45">
        <v>0</v>
      </c>
      <c r="D180" s="45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O180" s="45">
        <f t="shared" si="7"/>
        <v>0</v>
      </c>
      <c r="P180" s="45">
        <f>O180+0</f>
        <v>0</v>
      </c>
    </row>
    <row r="181" spans="1:16" x14ac:dyDescent="0.25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O181" s="41"/>
      <c r="P181" s="41"/>
    </row>
    <row r="182" spans="1:16" x14ac:dyDescent="0.25">
      <c r="A182" s="53" t="s">
        <v>95</v>
      </c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O182" s="45"/>
      <c r="P182" s="45"/>
    </row>
    <row r="183" spans="1:16" x14ac:dyDescent="0.25">
      <c r="A183" s="40" t="s">
        <v>87</v>
      </c>
      <c r="B183" s="41">
        <v>116</v>
      </c>
      <c r="C183" s="41">
        <v>116</v>
      </c>
      <c r="D183" s="41">
        <v>116</v>
      </c>
      <c r="E183" s="41">
        <v>115.6</v>
      </c>
      <c r="F183" s="41">
        <v>114</v>
      </c>
      <c r="G183" s="41">
        <v>115.6</v>
      </c>
      <c r="H183" s="41">
        <v>116</v>
      </c>
      <c r="I183" s="41">
        <v>116</v>
      </c>
      <c r="J183" s="41">
        <v>114</v>
      </c>
      <c r="K183" s="41">
        <v>114</v>
      </c>
      <c r="L183" s="41">
        <v>114</v>
      </c>
      <c r="M183" s="41">
        <v>114</v>
      </c>
      <c r="O183" s="41"/>
      <c r="P183" s="41"/>
    </row>
    <row r="184" spans="1:16" x14ac:dyDescent="0.25">
      <c r="A184" s="44" t="s">
        <v>97</v>
      </c>
      <c r="B184" s="45">
        <v>5228161.8</v>
      </c>
      <c r="C184" s="45">
        <v>6621091.3500000006</v>
      </c>
      <c r="D184" s="45">
        <v>6533141.5699999994</v>
      </c>
      <c r="E184" s="45">
        <v>5027769.74</v>
      </c>
      <c r="F184" s="45">
        <v>6026851.6400000006</v>
      </c>
      <c r="G184" s="45">
        <v>5795239.9500000002</v>
      </c>
      <c r="H184" s="45">
        <v>5927807.7199999997</v>
      </c>
      <c r="I184" s="45">
        <v>5947964.4800000004</v>
      </c>
      <c r="J184" s="45">
        <v>6740040.2699999996</v>
      </c>
      <c r="K184" s="45">
        <v>4992447.3</v>
      </c>
      <c r="L184" s="45">
        <v>5531932.1099999994</v>
      </c>
      <c r="M184" s="45">
        <v>4908548.3499999996</v>
      </c>
      <c r="O184" s="45">
        <f>SUM(B184:M184)</f>
        <v>69280996.279999986</v>
      </c>
      <c r="P184" s="45">
        <f>O184+127697371.33</f>
        <v>196978367.60999998</v>
      </c>
    </row>
    <row r="185" spans="1:16" ht="18" x14ac:dyDescent="0.25">
      <c r="A185" s="44" t="s">
        <v>102</v>
      </c>
      <c r="B185" s="45">
        <v>659236.23</v>
      </c>
      <c r="C185" s="45">
        <v>794530.96</v>
      </c>
      <c r="D185" s="45">
        <v>783976.99</v>
      </c>
      <c r="E185" s="45">
        <v>603332.36</v>
      </c>
      <c r="F185" s="45">
        <v>723222.2</v>
      </c>
      <c r="G185" s="45">
        <v>695428.8</v>
      </c>
      <c r="H185" s="45">
        <v>711336.92999999993</v>
      </c>
      <c r="I185" s="45">
        <v>713755.74</v>
      </c>
      <c r="J185" s="45">
        <v>808804.83</v>
      </c>
      <c r="K185" s="45">
        <v>599093.67999999993</v>
      </c>
      <c r="L185" s="45">
        <v>663831.85999999987</v>
      </c>
      <c r="M185" s="45">
        <v>589025.80999999994</v>
      </c>
      <c r="O185" s="45">
        <f>SUM(B185:M185)</f>
        <v>8345576.3899999978</v>
      </c>
      <c r="P185" s="45">
        <f>O185+17877632.08</f>
        <v>26223208.469999995</v>
      </c>
    </row>
    <row r="186" spans="1:16" x14ac:dyDescent="0.25">
      <c r="A186" s="44" t="s">
        <v>88</v>
      </c>
      <c r="B186" s="45">
        <v>104563.25</v>
      </c>
      <c r="C186" s="45">
        <v>132421.84</v>
      </c>
      <c r="D186" s="45">
        <v>130662.82999999999</v>
      </c>
      <c r="E186" s="45">
        <v>100555.41</v>
      </c>
      <c r="F186" s="45">
        <v>120537.03999999998</v>
      </c>
      <c r="G186" s="45">
        <v>115904.81</v>
      </c>
      <c r="H186" s="45">
        <v>118556.16</v>
      </c>
      <c r="I186" s="45">
        <v>118959.3</v>
      </c>
      <c r="J186" s="45">
        <v>134800.81999999998</v>
      </c>
      <c r="K186" s="45">
        <v>99848.95</v>
      </c>
      <c r="L186" s="45">
        <v>110638.65</v>
      </c>
      <c r="M186" s="45">
        <v>98170.97</v>
      </c>
      <c r="O186" s="45">
        <f>SUM(B186:M186)</f>
        <v>1385620.0299999998</v>
      </c>
      <c r="P186" s="45">
        <f>O186+2553947.55</f>
        <v>3939567.5799999996</v>
      </c>
    </row>
    <row r="187" spans="1:16" ht="18" x14ac:dyDescent="0.25">
      <c r="A187" s="40" t="s">
        <v>103</v>
      </c>
      <c r="B187" s="41">
        <v>30</v>
      </c>
      <c r="C187" s="41">
        <v>30</v>
      </c>
      <c r="D187" s="41">
        <v>30</v>
      </c>
      <c r="E187" s="41">
        <v>30</v>
      </c>
      <c r="F187" s="41">
        <v>30</v>
      </c>
      <c r="G187" s="41">
        <v>30</v>
      </c>
      <c r="H187" s="41">
        <v>30</v>
      </c>
      <c r="I187" s="41">
        <v>30</v>
      </c>
      <c r="J187" s="41">
        <v>30</v>
      </c>
      <c r="K187" s="41">
        <v>30</v>
      </c>
      <c r="L187" s="41">
        <v>30</v>
      </c>
      <c r="M187" s="41">
        <v>30</v>
      </c>
      <c r="O187" s="41"/>
      <c r="P187" s="41"/>
    </row>
    <row r="188" spans="1:16" x14ac:dyDescent="0.25">
      <c r="A188" s="44" t="s">
        <v>97</v>
      </c>
      <c r="B188" s="45">
        <v>585396</v>
      </c>
      <c r="C188" s="45">
        <v>553676</v>
      </c>
      <c r="D188" s="45">
        <v>522457</v>
      </c>
      <c r="E188" s="45">
        <v>536726.1</v>
      </c>
      <c r="F188" s="45">
        <v>589524.07000000007</v>
      </c>
      <c r="G188" s="45">
        <v>587260</v>
      </c>
      <c r="H188" s="45">
        <v>565721</v>
      </c>
      <c r="I188" s="45">
        <v>569171.5</v>
      </c>
      <c r="J188" s="45">
        <v>646593.5</v>
      </c>
      <c r="K188" s="45">
        <v>517658</v>
      </c>
      <c r="L188" s="45">
        <v>549046.01</v>
      </c>
      <c r="M188" s="45">
        <v>507084.5</v>
      </c>
      <c r="O188" s="45">
        <f>SUM(B188:M188)</f>
        <v>6730313.6799999997</v>
      </c>
      <c r="P188" s="45">
        <f>O188+15117742.52</f>
        <v>21848056.199999999</v>
      </c>
    </row>
    <row r="189" spans="1:16" ht="18" x14ac:dyDescent="0.25">
      <c r="A189" s="44" t="s">
        <v>102</v>
      </c>
      <c r="B189" s="45">
        <v>73177.679999999993</v>
      </c>
      <c r="C189" s="45">
        <v>66441.119999999995</v>
      </c>
      <c r="D189" s="45">
        <v>62694.84</v>
      </c>
      <c r="E189" s="45">
        <v>64407.13</v>
      </c>
      <c r="F189" s="45">
        <v>70742.89</v>
      </c>
      <c r="G189" s="45">
        <v>70471.199999999997</v>
      </c>
      <c r="H189" s="45">
        <v>67886.52</v>
      </c>
      <c r="I189" s="45">
        <v>68300.58</v>
      </c>
      <c r="J189" s="45">
        <v>77591.22</v>
      </c>
      <c r="K189" s="45">
        <v>62118.96</v>
      </c>
      <c r="L189" s="45">
        <v>65885.52</v>
      </c>
      <c r="M189" s="45">
        <v>60850.139999999992</v>
      </c>
      <c r="O189" s="45">
        <f>SUM(B189:M189)</f>
        <v>810567.79999999993</v>
      </c>
      <c r="P189" s="45">
        <f>O189+2116483.95</f>
        <v>2927051.75</v>
      </c>
    </row>
    <row r="190" spans="1:16" x14ac:dyDescent="0.25">
      <c r="A190" s="44" t="s">
        <v>88</v>
      </c>
      <c r="B190" s="45">
        <v>11707.92</v>
      </c>
      <c r="C190" s="45">
        <v>11073.520000000002</v>
      </c>
      <c r="D190" s="45">
        <v>10449.14</v>
      </c>
      <c r="E190" s="45">
        <v>10734.52</v>
      </c>
      <c r="F190" s="45">
        <v>11790.480000000001</v>
      </c>
      <c r="G190" s="45">
        <v>11745.2</v>
      </c>
      <c r="H190" s="45">
        <v>11314.42</v>
      </c>
      <c r="I190" s="45">
        <v>11383.43</v>
      </c>
      <c r="J190" s="45">
        <v>12931.869999999999</v>
      </c>
      <c r="K190" s="45">
        <v>10353.16</v>
      </c>
      <c r="L190" s="45">
        <v>10980.92</v>
      </c>
      <c r="M190" s="45">
        <v>10141.69</v>
      </c>
      <c r="O190" s="45">
        <f>SUM(B190:M190)</f>
        <v>134606.26999999999</v>
      </c>
      <c r="P190" s="45">
        <f>O190+302354.85</f>
        <v>436961.12</v>
      </c>
    </row>
    <row r="191" spans="1:16" ht="18" x14ac:dyDescent="0.25">
      <c r="A191" s="40" t="s">
        <v>104</v>
      </c>
      <c r="B191" s="41">
        <v>86</v>
      </c>
      <c r="C191" s="41">
        <v>86</v>
      </c>
      <c r="D191" s="41">
        <v>86</v>
      </c>
      <c r="E191" s="41">
        <v>85.6</v>
      </c>
      <c r="F191" s="41">
        <v>84</v>
      </c>
      <c r="G191" s="41">
        <v>85.6</v>
      </c>
      <c r="H191" s="41">
        <v>86</v>
      </c>
      <c r="I191" s="41">
        <v>86</v>
      </c>
      <c r="J191" s="41">
        <v>84</v>
      </c>
      <c r="K191" s="41">
        <v>84</v>
      </c>
      <c r="L191" s="41">
        <v>84</v>
      </c>
      <c r="M191" s="41">
        <v>84</v>
      </c>
      <c r="O191" s="41"/>
      <c r="P191" s="41"/>
    </row>
    <row r="192" spans="1:16" x14ac:dyDescent="0.25">
      <c r="A192" s="44" t="s">
        <v>97</v>
      </c>
      <c r="B192" s="45">
        <v>4642765.8</v>
      </c>
      <c r="C192" s="45">
        <v>6067415.3500000006</v>
      </c>
      <c r="D192" s="45">
        <v>6010684.5699999994</v>
      </c>
      <c r="E192" s="45">
        <v>4491043.6400000006</v>
      </c>
      <c r="F192" s="45">
        <v>5437327.5700000003</v>
      </c>
      <c r="G192" s="45">
        <v>5207979.95</v>
      </c>
      <c r="H192" s="45">
        <v>5362086.72</v>
      </c>
      <c r="I192" s="45">
        <v>5378792.9800000004</v>
      </c>
      <c r="J192" s="45">
        <v>6093446.7699999996</v>
      </c>
      <c r="K192" s="45">
        <v>4474789.3</v>
      </c>
      <c r="L192" s="45">
        <v>4982886.0999999996</v>
      </c>
      <c r="M192" s="45">
        <v>4401463.8499999996</v>
      </c>
      <c r="O192" s="45">
        <f t="shared" ref="O192:O198" si="8">SUM(B192:M192)</f>
        <v>62550682.599999994</v>
      </c>
      <c r="P192" s="45">
        <f>O192+110707288.81</f>
        <v>173257971.41</v>
      </c>
    </row>
    <row r="193" spans="1:16" ht="18" x14ac:dyDescent="0.25">
      <c r="A193" s="44" t="s">
        <v>102</v>
      </c>
      <c r="B193" s="45">
        <v>586058.55000000005</v>
      </c>
      <c r="C193" s="45">
        <v>728089.84</v>
      </c>
      <c r="D193" s="45">
        <v>721282.14999999991</v>
      </c>
      <c r="E193" s="45">
        <v>538925.23</v>
      </c>
      <c r="F193" s="45">
        <v>652479.31000000006</v>
      </c>
      <c r="G193" s="45">
        <v>624957.6</v>
      </c>
      <c r="H193" s="45">
        <v>643450.40999999992</v>
      </c>
      <c r="I193" s="45">
        <v>645455.16000000015</v>
      </c>
      <c r="J193" s="45">
        <v>731213.61</v>
      </c>
      <c r="K193" s="45">
        <v>536974.72000000009</v>
      </c>
      <c r="L193" s="45">
        <v>597946.34</v>
      </c>
      <c r="M193" s="45">
        <v>528175.67000000004</v>
      </c>
      <c r="O193" s="45">
        <f t="shared" si="8"/>
        <v>7535008.5899999999</v>
      </c>
      <c r="P193" s="45">
        <f>O193+15499020.53</f>
        <v>23034029.119999997</v>
      </c>
    </row>
    <row r="194" spans="1:16" x14ac:dyDescent="0.25">
      <c r="A194" s="44" t="s">
        <v>88</v>
      </c>
      <c r="B194" s="45">
        <v>92855.330000000016</v>
      </c>
      <c r="C194" s="45">
        <v>121348.31999999999</v>
      </c>
      <c r="D194" s="45">
        <v>120213.69</v>
      </c>
      <c r="E194" s="45">
        <v>89820.890000000014</v>
      </c>
      <c r="F194" s="45">
        <v>108746.55999999998</v>
      </c>
      <c r="G194" s="45">
        <v>104159.60999999999</v>
      </c>
      <c r="H194" s="45">
        <v>107241.74</v>
      </c>
      <c r="I194" s="45">
        <v>107575.87</v>
      </c>
      <c r="J194" s="45">
        <v>121868.95</v>
      </c>
      <c r="K194" s="45">
        <v>89495.790000000008</v>
      </c>
      <c r="L194" s="45">
        <v>99657.73000000001</v>
      </c>
      <c r="M194" s="45">
        <v>88029.28</v>
      </c>
      <c r="O194" s="45">
        <f t="shared" si="8"/>
        <v>1251013.76</v>
      </c>
      <c r="P194" s="45">
        <f>O194+2214145.9</f>
        <v>3465159.66</v>
      </c>
    </row>
    <row r="195" spans="1:16" ht="18" x14ac:dyDescent="0.25">
      <c r="A195" s="40" t="s">
        <v>105</v>
      </c>
      <c r="B195" s="41">
        <v>0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O195" s="41"/>
      <c r="P195" s="41"/>
    </row>
    <row r="196" spans="1:16" x14ac:dyDescent="0.25">
      <c r="A196" s="44" t="s">
        <v>97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O196" s="45">
        <f t="shared" si="8"/>
        <v>0</v>
      </c>
      <c r="P196" s="45">
        <f>O196+1872340</f>
        <v>1872340</v>
      </c>
    </row>
    <row r="197" spans="1:16" ht="18" x14ac:dyDescent="0.25">
      <c r="A197" s="44" t="s">
        <v>102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O197" s="45">
        <f t="shared" si="8"/>
        <v>0</v>
      </c>
      <c r="P197" s="45">
        <f>O197+262127.6</f>
        <v>262127.6</v>
      </c>
    </row>
    <row r="198" spans="1:16" x14ac:dyDescent="0.25">
      <c r="A198" s="44" t="s">
        <v>88</v>
      </c>
      <c r="B198" s="45">
        <v>0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O198" s="45">
        <f t="shared" si="8"/>
        <v>0</v>
      </c>
      <c r="P198" s="45">
        <f>O198+37446.8</f>
        <v>37446.800000000003</v>
      </c>
    </row>
    <row r="199" spans="1:16" ht="18" x14ac:dyDescent="0.25">
      <c r="A199" s="40" t="s">
        <v>106</v>
      </c>
      <c r="B199" s="41">
        <v>0</v>
      </c>
      <c r="C199" s="41">
        <v>0</v>
      </c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O199" s="41"/>
      <c r="P199" s="41"/>
    </row>
    <row r="200" spans="1:16" x14ac:dyDescent="0.25">
      <c r="A200" s="44" t="s">
        <v>97</v>
      </c>
      <c r="B200" s="45">
        <v>0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O200" s="45">
        <f>SUM(B200:M200)</f>
        <v>0</v>
      </c>
      <c r="P200" s="45">
        <f>O200+0</f>
        <v>0</v>
      </c>
    </row>
    <row r="201" spans="1:16" ht="18" x14ac:dyDescent="0.25">
      <c r="A201" s="44" t="s">
        <v>102</v>
      </c>
      <c r="B201" s="45">
        <v>0</v>
      </c>
      <c r="C201" s="45">
        <v>0</v>
      </c>
      <c r="D201" s="45"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O201" s="45">
        <f>SUM(B201:M201)</f>
        <v>0</v>
      </c>
      <c r="P201" s="45">
        <f>O201+0</f>
        <v>0</v>
      </c>
    </row>
    <row r="202" spans="1:16" x14ac:dyDescent="0.25">
      <c r="A202" s="44" t="s">
        <v>88</v>
      </c>
      <c r="B202" s="45">
        <v>0</v>
      </c>
      <c r="C202" s="45">
        <v>0</v>
      </c>
      <c r="D202" s="45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O202" s="45">
        <f>SUM(B202:M202)</f>
        <v>0</v>
      </c>
      <c r="P202" s="45">
        <f>O202+0</f>
        <v>0</v>
      </c>
    </row>
    <row r="203" spans="1:16" x14ac:dyDescent="0.25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O203" s="45"/>
      <c r="P203" s="45"/>
    </row>
    <row r="204" spans="1:16" x14ac:dyDescent="0.25">
      <c r="A204" s="53" t="s">
        <v>99</v>
      </c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O204" s="41"/>
      <c r="P204" s="41"/>
    </row>
    <row r="205" spans="1:16" x14ac:dyDescent="0.25">
      <c r="A205" s="40" t="s">
        <v>87</v>
      </c>
      <c r="B205" s="41">
        <v>55</v>
      </c>
      <c r="C205" s="41">
        <v>55</v>
      </c>
      <c r="D205" s="41">
        <v>55</v>
      </c>
      <c r="E205" s="41">
        <v>55</v>
      </c>
      <c r="F205" s="41">
        <v>55.4</v>
      </c>
      <c r="G205" s="41">
        <v>56</v>
      </c>
      <c r="H205" s="41">
        <v>57.2</v>
      </c>
      <c r="I205" s="41">
        <v>58</v>
      </c>
      <c r="J205" s="41">
        <v>58</v>
      </c>
      <c r="K205" s="41">
        <v>58</v>
      </c>
      <c r="L205" s="41">
        <v>58</v>
      </c>
      <c r="M205" s="41">
        <v>58</v>
      </c>
      <c r="O205" s="41"/>
      <c r="P205" s="41"/>
    </row>
    <row r="206" spans="1:16" x14ac:dyDescent="0.25">
      <c r="A206" s="44" t="s">
        <v>97</v>
      </c>
      <c r="B206" s="45">
        <v>6705045.75</v>
      </c>
      <c r="C206" s="45">
        <v>6823092.5</v>
      </c>
      <c r="D206" s="45">
        <v>6506760</v>
      </c>
      <c r="E206" s="45">
        <v>6803774.25</v>
      </c>
      <c r="F206" s="45">
        <v>6946703.25</v>
      </c>
      <c r="G206" s="45">
        <v>7724091.25</v>
      </c>
      <c r="H206" s="45">
        <v>7288682.75</v>
      </c>
      <c r="I206" s="45">
        <v>7344329.25</v>
      </c>
      <c r="J206" s="45">
        <v>8024201.25</v>
      </c>
      <c r="K206" s="45">
        <v>7316610.5</v>
      </c>
      <c r="L206" s="45">
        <v>7109503</v>
      </c>
      <c r="M206" s="45">
        <v>6726149.5</v>
      </c>
      <c r="O206" s="45">
        <f>SUM(B206:M206)</f>
        <v>85318943.25</v>
      </c>
      <c r="P206" s="45">
        <f>O206+133762688.05</f>
        <v>219081631.30000001</v>
      </c>
    </row>
    <row r="207" spans="1:16" ht="18" x14ac:dyDescent="0.25">
      <c r="A207" s="44" t="s">
        <v>102</v>
      </c>
      <c r="B207" s="45">
        <v>938706.40999999992</v>
      </c>
      <c r="C207" s="45">
        <v>955232.95</v>
      </c>
      <c r="D207" s="45">
        <v>871181.42</v>
      </c>
      <c r="E207" s="45">
        <v>816452.90999999992</v>
      </c>
      <c r="F207" s="45">
        <v>833604.3899999999</v>
      </c>
      <c r="G207" s="45">
        <v>926890.95</v>
      </c>
      <c r="H207" s="45">
        <v>901695.39</v>
      </c>
      <c r="I207" s="45">
        <v>932786.33000000007</v>
      </c>
      <c r="J207" s="45">
        <v>1020065.29</v>
      </c>
      <c r="K207" s="45">
        <v>918070.41999999993</v>
      </c>
      <c r="L207" s="45">
        <v>878981.04</v>
      </c>
      <c r="M207" s="45">
        <v>845547.4</v>
      </c>
      <c r="O207" s="45">
        <f>SUM(B207:M207)</f>
        <v>10839214.9</v>
      </c>
      <c r="P207" s="45">
        <f>O207+18726776.47</f>
        <v>29565991.369999997</v>
      </c>
    </row>
    <row r="208" spans="1:16" x14ac:dyDescent="0.25">
      <c r="A208" s="44" t="s">
        <v>88</v>
      </c>
      <c r="B208" s="45">
        <v>134100.92000000001</v>
      </c>
      <c r="C208" s="45">
        <v>136461.85</v>
      </c>
      <c r="D208" s="45">
        <v>130135.20000000001</v>
      </c>
      <c r="E208" s="45">
        <v>136075.48000000001</v>
      </c>
      <c r="F208" s="45">
        <v>138934.08000000002</v>
      </c>
      <c r="G208" s="45">
        <v>154481.84</v>
      </c>
      <c r="H208" s="45">
        <v>145773.67000000001</v>
      </c>
      <c r="I208" s="45">
        <v>146886.59999999998</v>
      </c>
      <c r="J208" s="45">
        <v>160484.03</v>
      </c>
      <c r="K208" s="45">
        <v>146332.21000000005</v>
      </c>
      <c r="L208" s="45">
        <v>142190.06999999998</v>
      </c>
      <c r="M208" s="45">
        <v>134523.01</v>
      </c>
      <c r="O208" s="45">
        <f>SUM(B208:M208)</f>
        <v>1706378.9600000002</v>
      </c>
      <c r="P208" s="45">
        <f>O208+2675253.9</f>
        <v>4381632.8600000003</v>
      </c>
    </row>
    <row r="209" spans="1:16" ht="18" x14ac:dyDescent="0.25">
      <c r="A209" s="40" t="s">
        <v>103</v>
      </c>
      <c r="B209" s="41">
        <v>0</v>
      </c>
      <c r="C209" s="41">
        <v>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O209" s="41"/>
      <c r="P209" s="41"/>
    </row>
    <row r="210" spans="1:16" x14ac:dyDescent="0.25">
      <c r="A210" s="44" t="s">
        <v>97</v>
      </c>
      <c r="B210" s="45">
        <v>0</v>
      </c>
      <c r="C210" s="45">
        <v>0</v>
      </c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O210" s="45">
        <f>SUM(B210:M210)</f>
        <v>0</v>
      </c>
      <c r="P210" s="45">
        <f>O210+0</f>
        <v>0</v>
      </c>
    </row>
    <row r="211" spans="1:16" ht="18" x14ac:dyDescent="0.25">
      <c r="A211" s="44" t="s">
        <v>102</v>
      </c>
      <c r="B211" s="45">
        <v>0</v>
      </c>
      <c r="C211" s="45">
        <v>0</v>
      </c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O211" s="45">
        <f>SUM(B211:M211)</f>
        <v>0</v>
      </c>
      <c r="P211" s="45">
        <f>O211+0</f>
        <v>0</v>
      </c>
    </row>
    <row r="212" spans="1:16" x14ac:dyDescent="0.25">
      <c r="A212" s="44" t="s">
        <v>88</v>
      </c>
      <c r="B212" s="45">
        <v>0</v>
      </c>
      <c r="C212" s="45">
        <v>0</v>
      </c>
      <c r="D212" s="45">
        <v>0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O212" s="45">
        <f>SUM(B212:M212)</f>
        <v>0</v>
      </c>
      <c r="P212" s="45">
        <f>O212+0</f>
        <v>0</v>
      </c>
    </row>
    <row r="213" spans="1:16" ht="18" x14ac:dyDescent="0.25">
      <c r="A213" s="40" t="s">
        <v>104</v>
      </c>
      <c r="B213" s="41">
        <v>55</v>
      </c>
      <c r="C213" s="41">
        <v>55</v>
      </c>
      <c r="D213" s="41">
        <v>55</v>
      </c>
      <c r="E213" s="41">
        <v>55</v>
      </c>
      <c r="F213" s="41">
        <v>55.4</v>
      </c>
      <c r="G213" s="41">
        <v>56</v>
      </c>
      <c r="H213" s="41">
        <v>56</v>
      </c>
      <c r="I213" s="41">
        <v>56</v>
      </c>
      <c r="J213" s="41">
        <v>56</v>
      </c>
      <c r="K213" s="41">
        <v>56</v>
      </c>
      <c r="L213" s="41">
        <v>56</v>
      </c>
      <c r="M213" s="41">
        <v>56</v>
      </c>
      <c r="O213" s="41"/>
      <c r="P213" s="41"/>
    </row>
    <row r="214" spans="1:16" x14ac:dyDescent="0.25">
      <c r="A214" s="44" t="s">
        <v>97</v>
      </c>
      <c r="B214" s="45">
        <v>6705045.75</v>
      </c>
      <c r="C214" s="45">
        <v>6823092.5</v>
      </c>
      <c r="D214" s="45">
        <v>6506760</v>
      </c>
      <c r="E214" s="45">
        <v>6803774.25</v>
      </c>
      <c r="F214" s="45">
        <v>6946703.25</v>
      </c>
      <c r="G214" s="45">
        <v>7724091.25</v>
      </c>
      <c r="H214" s="45">
        <v>7209113.75</v>
      </c>
      <c r="I214" s="45">
        <v>7192956.25</v>
      </c>
      <c r="J214" s="45">
        <v>7856080.25</v>
      </c>
      <c r="K214" s="45">
        <v>7198736.5</v>
      </c>
      <c r="L214" s="45">
        <v>7033501</v>
      </c>
      <c r="M214" s="45">
        <v>6613180.5</v>
      </c>
      <c r="O214" s="45">
        <f t="shared" ref="O214:O224" si="9">SUM(B214:M214)</f>
        <v>84613035.25</v>
      </c>
      <c r="P214" s="45">
        <f>O214+133762688.05</f>
        <v>218375723.30000001</v>
      </c>
    </row>
    <row r="215" spans="1:16" ht="18" x14ac:dyDescent="0.25">
      <c r="A215" s="44" t="s">
        <v>102</v>
      </c>
      <c r="B215" s="45">
        <v>938706.40999999992</v>
      </c>
      <c r="C215" s="45">
        <v>955232.95</v>
      </c>
      <c r="D215" s="45">
        <v>871181.42</v>
      </c>
      <c r="E215" s="45">
        <v>816452.90999999992</v>
      </c>
      <c r="F215" s="45">
        <v>833604.3899999999</v>
      </c>
      <c r="G215" s="45">
        <v>926890.95</v>
      </c>
      <c r="H215" s="45">
        <v>865093.65</v>
      </c>
      <c r="I215" s="45">
        <v>863154.75</v>
      </c>
      <c r="J215" s="45">
        <v>942729.63</v>
      </c>
      <c r="K215" s="45">
        <v>863848.38</v>
      </c>
      <c r="L215" s="45">
        <v>844020.12</v>
      </c>
      <c r="M215" s="45">
        <v>793581.66</v>
      </c>
      <c r="O215" s="45">
        <f t="shared" si="9"/>
        <v>10514497.219999999</v>
      </c>
      <c r="P215" s="45">
        <f>O215+18726776.47</f>
        <v>29241273.689999998</v>
      </c>
    </row>
    <row r="216" spans="1:16" x14ac:dyDescent="0.25">
      <c r="A216" s="44" t="s">
        <v>88</v>
      </c>
      <c r="B216" s="45">
        <v>134100.92000000001</v>
      </c>
      <c r="C216" s="45">
        <v>136461.85</v>
      </c>
      <c r="D216" s="45">
        <v>130135.20000000001</v>
      </c>
      <c r="E216" s="45">
        <v>136075.48000000001</v>
      </c>
      <c r="F216" s="45">
        <v>138934.08000000002</v>
      </c>
      <c r="G216" s="45">
        <v>154481.84</v>
      </c>
      <c r="H216" s="45">
        <v>144182.29</v>
      </c>
      <c r="I216" s="45">
        <v>143859.14000000001</v>
      </c>
      <c r="J216" s="45">
        <v>157121.60999999999</v>
      </c>
      <c r="K216" s="45">
        <v>143974.73000000001</v>
      </c>
      <c r="L216" s="45">
        <v>140670.03</v>
      </c>
      <c r="M216" s="45">
        <v>132263.63</v>
      </c>
      <c r="O216" s="45">
        <f t="shared" si="9"/>
        <v>1692260.8000000003</v>
      </c>
      <c r="P216" s="45">
        <f>O216+2675253.91</f>
        <v>4367514.7100000009</v>
      </c>
    </row>
    <row r="217" spans="1:16" ht="18" x14ac:dyDescent="0.25">
      <c r="A217" s="40" t="s">
        <v>105</v>
      </c>
      <c r="B217" s="41">
        <v>0</v>
      </c>
      <c r="C217" s="41">
        <v>0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O217" s="41"/>
      <c r="P217" s="41"/>
    </row>
    <row r="218" spans="1:16" x14ac:dyDescent="0.25">
      <c r="A218" s="44" t="s">
        <v>97</v>
      </c>
      <c r="B218" s="45">
        <v>0</v>
      </c>
      <c r="C218" s="45">
        <v>0</v>
      </c>
      <c r="D218" s="45">
        <v>0</v>
      </c>
      <c r="E218" s="45">
        <v>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O218" s="45">
        <f t="shared" si="9"/>
        <v>0</v>
      </c>
      <c r="P218" s="45">
        <f>O218+0</f>
        <v>0</v>
      </c>
    </row>
    <row r="219" spans="1:16" ht="18" x14ac:dyDescent="0.25">
      <c r="A219" s="44" t="s">
        <v>102</v>
      </c>
      <c r="B219" s="45">
        <v>0</v>
      </c>
      <c r="C219" s="45">
        <v>0</v>
      </c>
      <c r="D219" s="45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O219" s="45">
        <f t="shared" si="9"/>
        <v>0</v>
      </c>
      <c r="P219" s="45">
        <f>O219+0</f>
        <v>0</v>
      </c>
    </row>
    <row r="220" spans="1:16" x14ac:dyDescent="0.25">
      <c r="A220" s="44" t="s">
        <v>88</v>
      </c>
      <c r="B220" s="45">
        <v>0</v>
      </c>
      <c r="C220" s="45">
        <v>0</v>
      </c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O220" s="45">
        <f t="shared" si="9"/>
        <v>0</v>
      </c>
      <c r="P220" s="45">
        <f>O220+0</f>
        <v>0</v>
      </c>
    </row>
    <row r="221" spans="1:16" ht="18" x14ac:dyDescent="0.25">
      <c r="A221" s="40" t="s">
        <v>106</v>
      </c>
      <c r="B221" s="41">
        <v>0</v>
      </c>
      <c r="C221" s="41">
        <v>0</v>
      </c>
      <c r="D221" s="41">
        <v>0</v>
      </c>
      <c r="E221" s="41">
        <v>0</v>
      </c>
      <c r="F221" s="41">
        <v>0</v>
      </c>
      <c r="G221" s="41">
        <v>0</v>
      </c>
      <c r="H221" s="41">
        <v>1</v>
      </c>
      <c r="I221" s="41">
        <v>2</v>
      </c>
      <c r="J221" s="41">
        <v>2</v>
      </c>
      <c r="K221" s="41">
        <v>2</v>
      </c>
      <c r="L221" s="41">
        <v>2</v>
      </c>
      <c r="M221" s="41">
        <v>2</v>
      </c>
      <c r="O221" s="41"/>
      <c r="P221" s="41"/>
    </row>
    <row r="222" spans="1:16" x14ac:dyDescent="0.25">
      <c r="A222" s="44" t="s">
        <v>97</v>
      </c>
      <c r="B222" s="45">
        <v>0</v>
      </c>
      <c r="C222" s="45">
        <v>0</v>
      </c>
      <c r="D222" s="45">
        <v>0</v>
      </c>
      <c r="E222" s="45">
        <v>0</v>
      </c>
      <c r="F222" s="45">
        <v>0</v>
      </c>
      <c r="G222" s="45">
        <v>0</v>
      </c>
      <c r="H222" s="45">
        <v>79569</v>
      </c>
      <c r="I222" s="45">
        <v>151373</v>
      </c>
      <c r="J222" s="45">
        <v>168121</v>
      </c>
      <c r="K222" s="45">
        <v>117874</v>
      </c>
      <c r="L222" s="45">
        <v>76002</v>
      </c>
      <c r="M222" s="45">
        <v>112969</v>
      </c>
      <c r="O222" s="45">
        <f t="shared" si="9"/>
        <v>705908</v>
      </c>
      <c r="P222" s="45">
        <f>O222+0</f>
        <v>705908</v>
      </c>
    </row>
    <row r="223" spans="1:16" ht="18" x14ac:dyDescent="0.25">
      <c r="A223" s="44" t="s">
        <v>102</v>
      </c>
      <c r="B223" s="45">
        <v>0</v>
      </c>
      <c r="C223" s="45">
        <v>0</v>
      </c>
      <c r="D223" s="45">
        <v>0</v>
      </c>
      <c r="E223" s="45">
        <v>0</v>
      </c>
      <c r="F223" s="45">
        <v>0</v>
      </c>
      <c r="G223" s="45">
        <v>0</v>
      </c>
      <c r="H223" s="45">
        <v>36601.74</v>
      </c>
      <c r="I223" s="45">
        <v>69631.58</v>
      </c>
      <c r="J223" s="45">
        <v>77335.66</v>
      </c>
      <c r="K223" s="45">
        <v>54222.04</v>
      </c>
      <c r="L223" s="45">
        <v>34960.92</v>
      </c>
      <c r="M223" s="45">
        <v>51965.740000000005</v>
      </c>
      <c r="O223" s="45">
        <f t="shared" si="9"/>
        <v>324717.68</v>
      </c>
      <c r="P223" s="45">
        <f>O223+0</f>
        <v>324717.68</v>
      </c>
    </row>
    <row r="224" spans="1:16" x14ac:dyDescent="0.25">
      <c r="A224" s="44" t="s">
        <v>88</v>
      </c>
      <c r="B224" s="45">
        <v>0</v>
      </c>
      <c r="C224" s="45">
        <v>0</v>
      </c>
      <c r="D224" s="45">
        <v>0</v>
      </c>
      <c r="E224" s="45">
        <v>0</v>
      </c>
      <c r="F224" s="45">
        <v>0</v>
      </c>
      <c r="G224" s="45">
        <v>0</v>
      </c>
      <c r="H224" s="45">
        <v>1591.38</v>
      </c>
      <c r="I224" s="45">
        <v>3027.46</v>
      </c>
      <c r="J224" s="45">
        <v>3362.4199999999996</v>
      </c>
      <c r="K224" s="45">
        <v>2357.4799999999996</v>
      </c>
      <c r="L224" s="45">
        <v>1520.0400000000002</v>
      </c>
      <c r="M224" s="45">
        <v>2259.38</v>
      </c>
      <c r="O224" s="45">
        <f t="shared" si="9"/>
        <v>14118.16</v>
      </c>
      <c r="P224" s="45">
        <f>O224+0</f>
        <v>14118.16</v>
      </c>
    </row>
    <row r="225" spans="1:16" x14ac:dyDescent="0.25">
      <c r="B225" s="45"/>
      <c r="C225" s="45"/>
      <c r="D225" s="45"/>
      <c r="E225" s="51"/>
      <c r="F225" s="51"/>
      <c r="G225" s="51"/>
      <c r="H225" s="51"/>
      <c r="I225" s="51"/>
      <c r="J225" s="51"/>
      <c r="K225" s="45"/>
      <c r="L225" s="45"/>
      <c r="M225" s="45"/>
      <c r="O225" s="51"/>
      <c r="P225" s="51"/>
    </row>
    <row r="226" spans="1:16" x14ac:dyDescent="0.25">
      <c r="A226" s="53" t="s">
        <v>112</v>
      </c>
      <c r="B226" s="45"/>
      <c r="C226" s="45"/>
      <c r="D226" s="45"/>
      <c r="E226" s="51"/>
      <c r="F226" s="51"/>
      <c r="G226" s="51"/>
      <c r="H226" s="51"/>
      <c r="I226" s="51"/>
      <c r="J226" s="51"/>
      <c r="K226" s="45"/>
      <c r="L226" s="45"/>
      <c r="M226" s="45"/>
      <c r="O226" s="51"/>
      <c r="P226" s="51"/>
    </row>
    <row r="227" spans="1:16" x14ac:dyDescent="0.25">
      <c r="A227" s="40" t="s">
        <v>87</v>
      </c>
      <c r="B227" s="41">
        <v>50</v>
      </c>
      <c r="C227" s="41">
        <v>50</v>
      </c>
      <c r="D227" s="41">
        <v>50</v>
      </c>
      <c r="E227" s="41">
        <v>49.8</v>
      </c>
      <c r="F227" s="41">
        <v>50</v>
      </c>
      <c r="G227" s="41">
        <v>50</v>
      </c>
      <c r="H227" s="41">
        <v>50</v>
      </c>
      <c r="I227" s="41">
        <v>50</v>
      </c>
      <c r="J227" s="41">
        <v>50</v>
      </c>
      <c r="K227" s="41">
        <v>50</v>
      </c>
      <c r="L227" s="41">
        <v>50</v>
      </c>
      <c r="M227" s="41">
        <v>50</v>
      </c>
      <c r="O227" s="41"/>
      <c r="P227" s="41"/>
    </row>
    <row r="228" spans="1:16" x14ac:dyDescent="0.25">
      <c r="A228" s="44" t="s">
        <v>97</v>
      </c>
      <c r="B228" s="45">
        <v>1847578.67</v>
      </c>
      <c r="C228" s="45">
        <v>2072148.23</v>
      </c>
      <c r="D228" s="45">
        <v>2903200.7</v>
      </c>
      <c r="E228" s="45">
        <v>2247191.21</v>
      </c>
      <c r="F228" s="45">
        <v>2611421.5900000003</v>
      </c>
      <c r="G228" s="45">
        <v>2619137.7500000005</v>
      </c>
      <c r="H228" s="45">
        <v>2551900.63</v>
      </c>
      <c r="I228" s="45">
        <v>2442877</v>
      </c>
      <c r="J228" s="45">
        <v>3512503.71</v>
      </c>
      <c r="K228" s="45">
        <v>2790101.0300000003</v>
      </c>
      <c r="L228" s="45">
        <v>3268252.79</v>
      </c>
      <c r="M228" s="45">
        <v>2716967.05</v>
      </c>
      <c r="O228" s="45">
        <f>SUM(B228:M228)</f>
        <v>31583280.359999999</v>
      </c>
      <c r="P228" s="45">
        <f>O228+7119049.11</f>
        <v>38702329.469999999</v>
      </c>
    </row>
    <row r="229" spans="1:16" ht="18" x14ac:dyDescent="0.25">
      <c r="A229" s="44" t="s">
        <v>102</v>
      </c>
      <c r="B229" s="45">
        <v>258661.02</v>
      </c>
      <c r="C229" s="45">
        <v>290100.77</v>
      </c>
      <c r="D229" s="45">
        <v>406448.09</v>
      </c>
      <c r="E229" s="45">
        <v>314606.76999999996</v>
      </c>
      <c r="F229" s="45">
        <v>365599.02999999997</v>
      </c>
      <c r="G229" s="45">
        <v>366679.29</v>
      </c>
      <c r="H229" s="45">
        <v>357266.1</v>
      </c>
      <c r="I229" s="45">
        <v>342002.76999999996</v>
      </c>
      <c r="J229" s="45">
        <v>491750.53</v>
      </c>
      <c r="K229" s="45">
        <v>390614.14999999997</v>
      </c>
      <c r="L229" s="45">
        <v>457555.39</v>
      </c>
      <c r="M229" s="45">
        <v>380375.38</v>
      </c>
      <c r="O229" s="45">
        <f>SUM(B229:M229)</f>
        <v>4421659.29</v>
      </c>
      <c r="P229" s="45">
        <f>O229+996666.87</f>
        <v>5418326.1600000001</v>
      </c>
    </row>
    <row r="230" spans="1:16" x14ac:dyDescent="0.25">
      <c r="A230" s="44" t="s">
        <v>88</v>
      </c>
      <c r="B230" s="45">
        <v>36951.58</v>
      </c>
      <c r="C230" s="45">
        <v>41442.979999999996</v>
      </c>
      <c r="D230" s="45">
        <v>58064.020000000004</v>
      </c>
      <c r="E230" s="45">
        <v>44943.82</v>
      </c>
      <c r="F230" s="45">
        <v>52228.43</v>
      </c>
      <c r="G230" s="45">
        <v>52382.76</v>
      </c>
      <c r="H230" s="45">
        <v>51038.02</v>
      </c>
      <c r="I230" s="45">
        <v>48857.55</v>
      </c>
      <c r="J230" s="45">
        <v>70250.080000000002</v>
      </c>
      <c r="K230" s="45">
        <v>55802.03</v>
      </c>
      <c r="L230" s="45">
        <v>65365.06</v>
      </c>
      <c r="M230" s="45">
        <v>54339.34</v>
      </c>
      <c r="O230" s="45">
        <f>SUM(B230:M230)</f>
        <v>631665.67000000004</v>
      </c>
      <c r="P230" s="45">
        <f>O230+142380.98</f>
        <v>774046.65</v>
      </c>
    </row>
    <row r="231" spans="1:16" ht="18" x14ac:dyDescent="0.25">
      <c r="A231" s="40" t="s">
        <v>103</v>
      </c>
      <c r="B231" s="41">
        <v>0</v>
      </c>
      <c r="C231" s="41">
        <v>0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O231" s="41"/>
      <c r="P231" s="41"/>
    </row>
    <row r="232" spans="1:16" x14ac:dyDescent="0.25">
      <c r="A232" s="44" t="s">
        <v>97</v>
      </c>
      <c r="B232" s="45">
        <v>0</v>
      </c>
      <c r="C232" s="45">
        <v>0</v>
      </c>
      <c r="D232" s="45">
        <v>0</v>
      </c>
      <c r="E232" s="45"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O232" s="45">
        <f>SUM(B232:M232)</f>
        <v>0</v>
      </c>
      <c r="P232" s="45">
        <f>O232+0</f>
        <v>0</v>
      </c>
    </row>
    <row r="233" spans="1:16" ht="18" x14ac:dyDescent="0.25">
      <c r="A233" s="44" t="s">
        <v>102</v>
      </c>
      <c r="B233" s="45">
        <v>0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45">
        <v>0</v>
      </c>
      <c r="O233" s="45">
        <f>SUM(B233:M233)</f>
        <v>0</v>
      </c>
      <c r="P233" s="45">
        <f>O233+0</f>
        <v>0</v>
      </c>
    </row>
    <row r="234" spans="1:16" x14ac:dyDescent="0.25">
      <c r="A234" s="44" t="s">
        <v>88</v>
      </c>
      <c r="B234" s="45">
        <v>0</v>
      </c>
      <c r="C234" s="45">
        <v>0</v>
      </c>
      <c r="D234" s="45">
        <v>0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O234" s="45">
        <f>SUM(B234:M234)</f>
        <v>0</v>
      </c>
      <c r="P234" s="45">
        <f>O234+0</f>
        <v>0</v>
      </c>
    </row>
    <row r="235" spans="1:16" ht="18" x14ac:dyDescent="0.25">
      <c r="A235" s="40" t="s">
        <v>104</v>
      </c>
      <c r="B235" s="41">
        <v>50</v>
      </c>
      <c r="C235" s="41">
        <v>50</v>
      </c>
      <c r="D235" s="41">
        <v>50</v>
      </c>
      <c r="E235" s="41">
        <v>49.8</v>
      </c>
      <c r="F235" s="41">
        <v>50</v>
      </c>
      <c r="G235" s="41">
        <v>50</v>
      </c>
      <c r="H235" s="41">
        <v>50</v>
      </c>
      <c r="I235" s="41">
        <v>50</v>
      </c>
      <c r="J235" s="41">
        <v>50</v>
      </c>
      <c r="K235" s="41">
        <v>50</v>
      </c>
      <c r="L235" s="41">
        <v>50</v>
      </c>
      <c r="M235" s="41">
        <v>50</v>
      </c>
      <c r="O235" s="41"/>
      <c r="P235" s="41"/>
    </row>
    <row r="236" spans="1:16" x14ac:dyDescent="0.25">
      <c r="A236" s="44" t="s">
        <v>97</v>
      </c>
      <c r="B236" s="45">
        <v>1847578.67</v>
      </c>
      <c r="C236" s="45">
        <v>2072148.23</v>
      </c>
      <c r="D236" s="45">
        <v>2903200.7</v>
      </c>
      <c r="E236" s="45">
        <v>2247191.21</v>
      </c>
      <c r="F236" s="45">
        <v>2611421.5900000003</v>
      </c>
      <c r="G236" s="45">
        <v>2619137.7500000005</v>
      </c>
      <c r="H236" s="45">
        <v>2551900.63</v>
      </c>
      <c r="I236" s="45">
        <v>2442877</v>
      </c>
      <c r="J236" s="45">
        <v>3512503.71</v>
      </c>
      <c r="K236" s="45">
        <v>2790101.0300000003</v>
      </c>
      <c r="L236" s="45">
        <v>3268252.79</v>
      </c>
      <c r="M236" s="45">
        <v>2716967.05</v>
      </c>
      <c r="O236" s="45">
        <f t="shared" ref="O236:O242" si="10">SUM(B236:M236)</f>
        <v>31583280.359999999</v>
      </c>
      <c r="P236" s="45">
        <f>O236+7119049.11</f>
        <v>38702329.469999999</v>
      </c>
    </row>
    <row r="237" spans="1:16" ht="18" x14ac:dyDescent="0.25">
      <c r="A237" s="44" t="s">
        <v>102</v>
      </c>
      <c r="B237" s="45">
        <v>258661.02</v>
      </c>
      <c r="C237" s="45">
        <v>290100.77</v>
      </c>
      <c r="D237" s="45">
        <v>406448.09</v>
      </c>
      <c r="E237" s="45">
        <v>314606.76999999996</v>
      </c>
      <c r="F237" s="45">
        <v>365599.02999999997</v>
      </c>
      <c r="G237" s="45">
        <v>366679.29</v>
      </c>
      <c r="H237" s="45">
        <v>357266.1</v>
      </c>
      <c r="I237" s="45">
        <v>342002.76999999996</v>
      </c>
      <c r="J237" s="45">
        <v>491750.53</v>
      </c>
      <c r="K237" s="45">
        <v>390614.14999999997</v>
      </c>
      <c r="L237" s="45">
        <v>457555.39</v>
      </c>
      <c r="M237" s="45">
        <v>380375.38</v>
      </c>
      <c r="O237" s="45">
        <f t="shared" si="10"/>
        <v>4421659.29</v>
      </c>
      <c r="P237" s="45">
        <f>O237+996666.87</f>
        <v>5418326.1600000001</v>
      </c>
    </row>
    <row r="238" spans="1:16" x14ac:dyDescent="0.25">
      <c r="A238" s="44" t="s">
        <v>88</v>
      </c>
      <c r="B238" s="45">
        <v>36951.58</v>
      </c>
      <c r="C238" s="45">
        <v>41442.979999999996</v>
      </c>
      <c r="D238" s="45">
        <v>58064.020000000004</v>
      </c>
      <c r="E238" s="45">
        <v>44943.82</v>
      </c>
      <c r="F238" s="45">
        <v>52228.43</v>
      </c>
      <c r="G238" s="45">
        <v>52382.76</v>
      </c>
      <c r="H238" s="45">
        <v>51038.02</v>
      </c>
      <c r="I238" s="45">
        <v>48857.55</v>
      </c>
      <c r="J238" s="45">
        <v>70250.080000000002</v>
      </c>
      <c r="K238" s="45">
        <v>55802.03</v>
      </c>
      <c r="L238" s="45">
        <v>65365.06</v>
      </c>
      <c r="M238" s="45">
        <v>54339.34</v>
      </c>
      <c r="O238" s="45">
        <f t="shared" si="10"/>
        <v>631665.67000000004</v>
      </c>
      <c r="P238" s="45">
        <f>O238+142380.98</f>
        <v>774046.65</v>
      </c>
    </row>
    <row r="239" spans="1:16" ht="18" x14ac:dyDescent="0.25">
      <c r="A239" s="40" t="s">
        <v>105</v>
      </c>
      <c r="B239" s="41">
        <v>0</v>
      </c>
      <c r="C239" s="41">
        <v>0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O239" s="41"/>
      <c r="P239" s="41"/>
    </row>
    <row r="240" spans="1:16" x14ac:dyDescent="0.25">
      <c r="A240" s="44" t="s">
        <v>97</v>
      </c>
      <c r="B240" s="45">
        <v>0</v>
      </c>
      <c r="C240" s="45">
        <v>0</v>
      </c>
      <c r="D240" s="45">
        <v>0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O240" s="45">
        <f t="shared" si="10"/>
        <v>0</v>
      </c>
      <c r="P240" s="45">
        <f t="shared" ref="P240:P242" si="11">O240+0</f>
        <v>0</v>
      </c>
    </row>
    <row r="241" spans="1:16" ht="18" x14ac:dyDescent="0.25">
      <c r="A241" s="44" t="s">
        <v>102</v>
      </c>
      <c r="B241" s="45">
        <v>0</v>
      </c>
      <c r="C241" s="45">
        <v>0</v>
      </c>
      <c r="D241" s="45">
        <v>0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O241" s="45">
        <f t="shared" si="10"/>
        <v>0</v>
      </c>
      <c r="P241" s="45">
        <f t="shared" si="11"/>
        <v>0</v>
      </c>
    </row>
    <row r="242" spans="1:16" x14ac:dyDescent="0.25">
      <c r="A242" s="44" t="s">
        <v>88</v>
      </c>
      <c r="B242" s="45">
        <v>0</v>
      </c>
      <c r="C242" s="45">
        <v>0</v>
      </c>
      <c r="D242" s="45">
        <v>0</v>
      </c>
      <c r="E242" s="45">
        <v>0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O242" s="45">
        <f t="shared" si="10"/>
        <v>0</v>
      </c>
      <c r="P242" s="45">
        <f t="shared" si="11"/>
        <v>0</v>
      </c>
    </row>
    <row r="243" spans="1:16" ht="18" x14ac:dyDescent="0.25">
      <c r="A243" s="40" t="s">
        <v>106</v>
      </c>
      <c r="B243" s="41">
        <v>0</v>
      </c>
      <c r="C243" s="41">
        <v>0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O243" s="41"/>
      <c r="P243" s="41"/>
    </row>
    <row r="244" spans="1:16" x14ac:dyDescent="0.25">
      <c r="A244" s="44" t="s">
        <v>97</v>
      </c>
      <c r="B244" s="45">
        <v>0</v>
      </c>
      <c r="C244" s="45">
        <v>0</v>
      </c>
      <c r="D244" s="45">
        <v>0</v>
      </c>
      <c r="E244" s="45">
        <v>0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5">
        <v>0</v>
      </c>
      <c r="O244" s="45">
        <f>SUM(B244:M244)</f>
        <v>0</v>
      </c>
      <c r="P244" s="45">
        <f>O244+0</f>
        <v>0</v>
      </c>
    </row>
    <row r="245" spans="1:16" ht="18" x14ac:dyDescent="0.25">
      <c r="A245" s="44" t="s">
        <v>102</v>
      </c>
      <c r="B245" s="45">
        <v>0</v>
      </c>
      <c r="C245" s="45">
        <v>0</v>
      </c>
      <c r="D245" s="45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O245" s="45">
        <f>SUM(B245:M245)</f>
        <v>0</v>
      </c>
      <c r="P245" s="45">
        <f>O245+0</f>
        <v>0</v>
      </c>
    </row>
    <row r="246" spans="1:16" x14ac:dyDescent="0.25">
      <c r="A246" s="44" t="s">
        <v>88</v>
      </c>
      <c r="B246" s="45">
        <v>0</v>
      </c>
      <c r="C246" s="45">
        <v>0</v>
      </c>
      <c r="D246" s="45">
        <v>0</v>
      </c>
      <c r="E246" s="45">
        <v>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O246" s="45">
        <f>SUM(B246:M246)</f>
        <v>0</v>
      </c>
      <c r="P246" s="45">
        <f>O246+0</f>
        <v>0</v>
      </c>
    </row>
    <row r="247" spans="1:16" x14ac:dyDescent="0.25">
      <c r="A247" s="44"/>
      <c r="B247" s="65"/>
      <c r="C247" s="65"/>
      <c r="D247" s="65"/>
      <c r="E247" s="65"/>
      <c r="F247" s="51"/>
      <c r="G247" s="51"/>
      <c r="H247" s="51"/>
      <c r="I247" s="51"/>
      <c r="J247" s="51"/>
      <c r="K247" s="45"/>
      <c r="L247" s="45"/>
      <c r="M247" s="45"/>
      <c r="O247" s="51"/>
      <c r="P247" s="51"/>
    </row>
    <row r="248" spans="1:16" x14ac:dyDescent="0.25">
      <c r="A248" s="53" t="s">
        <v>129</v>
      </c>
      <c r="B248" s="65"/>
      <c r="C248" s="65"/>
      <c r="D248" s="65"/>
      <c r="E248" s="65"/>
      <c r="F248" s="51"/>
      <c r="G248" s="51"/>
      <c r="H248" s="51"/>
      <c r="I248" s="51"/>
      <c r="J248" s="51"/>
      <c r="K248" s="45"/>
      <c r="L248" s="45"/>
      <c r="M248" s="45"/>
      <c r="O248" s="51"/>
      <c r="P248" s="51"/>
    </row>
    <row r="249" spans="1:16" x14ac:dyDescent="0.25">
      <c r="A249" s="40" t="s">
        <v>87</v>
      </c>
      <c r="B249" s="65"/>
      <c r="C249" s="65"/>
      <c r="D249" s="65"/>
      <c r="E249" s="65"/>
      <c r="F249" s="51"/>
      <c r="G249" s="51"/>
      <c r="H249" s="51"/>
      <c r="I249" s="51"/>
      <c r="J249" s="51"/>
      <c r="K249" s="45"/>
      <c r="L249" s="45"/>
      <c r="M249" s="41">
        <v>28</v>
      </c>
      <c r="O249" s="41"/>
      <c r="P249" s="41"/>
    </row>
    <row r="250" spans="1:16" x14ac:dyDescent="0.25">
      <c r="A250" s="44" t="s">
        <v>97</v>
      </c>
      <c r="B250" s="65"/>
      <c r="C250" s="65"/>
      <c r="D250" s="65"/>
      <c r="E250" s="65"/>
      <c r="F250" s="51"/>
      <c r="G250" s="51"/>
      <c r="H250" s="51"/>
      <c r="I250" s="51"/>
      <c r="J250" s="51"/>
      <c r="K250" s="45"/>
      <c r="L250" s="45"/>
      <c r="M250" s="45">
        <v>8856</v>
      </c>
      <c r="O250" s="45">
        <f t="shared" ref="O250:P252" si="12">SUM(B250:M250)</f>
        <v>8856</v>
      </c>
      <c r="P250" s="45">
        <f t="shared" si="12"/>
        <v>8856</v>
      </c>
    </row>
    <row r="251" spans="1:16" ht="18" x14ac:dyDescent="0.25">
      <c r="A251" s="44" t="s">
        <v>102</v>
      </c>
      <c r="B251" s="65"/>
      <c r="C251" s="65"/>
      <c r="D251" s="65"/>
      <c r="E251" s="65"/>
      <c r="F251" s="51"/>
      <c r="G251" s="51"/>
      <c r="H251" s="51"/>
      <c r="I251" s="51"/>
      <c r="J251" s="51"/>
      <c r="K251" s="45"/>
      <c r="L251" s="45"/>
      <c r="M251" s="45">
        <v>1239.8399999999999</v>
      </c>
      <c r="O251" s="45">
        <f t="shared" si="12"/>
        <v>1239.8399999999999</v>
      </c>
      <c r="P251" s="45">
        <f t="shared" si="12"/>
        <v>1239.8399999999999</v>
      </c>
    </row>
    <row r="252" spans="1:16" x14ac:dyDescent="0.25">
      <c r="A252" s="44" t="s">
        <v>88</v>
      </c>
      <c r="B252" s="65"/>
      <c r="C252" s="65"/>
      <c r="D252" s="65"/>
      <c r="E252" s="65"/>
      <c r="F252" s="51"/>
      <c r="G252" s="51"/>
      <c r="H252" s="51"/>
      <c r="I252" s="51"/>
      <c r="J252" s="51"/>
      <c r="K252" s="45"/>
      <c r="L252" s="45"/>
      <c r="M252" s="45">
        <v>177.12</v>
      </c>
      <c r="O252" s="45">
        <f t="shared" si="12"/>
        <v>177.12</v>
      </c>
      <c r="P252" s="45">
        <f t="shared" si="12"/>
        <v>177.12</v>
      </c>
    </row>
    <row r="253" spans="1:16" ht="18" x14ac:dyDescent="0.25">
      <c r="A253" s="40" t="s">
        <v>103</v>
      </c>
      <c r="B253" s="65"/>
      <c r="C253" s="65"/>
      <c r="D253" s="65"/>
      <c r="E253" s="65"/>
      <c r="F253" s="51"/>
      <c r="G253" s="51"/>
      <c r="H253" s="51"/>
      <c r="I253" s="51"/>
      <c r="J253" s="51"/>
      <c r="K253" s="45"/>
      <c r="L253" s="45"/>
      <c r="M253" s="41">
        <v>0</v>
      </c>
      <c r="O253" s="41"/>
      <c r="P253" s="41"/>
    </row>
    <row r="254" spans="1:16" x14ac:dyDescent="0.25">
      <c r="A254" s="44" t="s">
        <v>97</v>
      </c>
      <c r="B254" s="65"/>
      <c r="C254" s="65"/>
      <c r="D254" s="65"/>
      <c r="E254" s="65"/>
      <c r="F254" s="51"/>
      <c r="G254" s="51"/>
      <c r="H254" s="51"/>
      <c r="I254" s="51"/>
      <c r="J254" s="51"/>
      <c r="K254" s="45"/>
      <c r="L254" s="45"/>
      <c r="M254" s="45">
        <v>0</v>
      </c>
      <c r="O254" s="45">
        <f t="shared" ref="O254:P256" si="13">SUM(B254:M254)</f>
        <v>0</v>
      </c>
      <c r="P254" s="45">
        <f t="shared" si="13"/>
        <v>0</v>
      </c>
    </row>
    <row r="255" spans="1:16" ht="18" x14ac:dyDescent="0.25">
      <c r="A255" s="44" t="s">
        <v>102</v>
      </c>
      <c r="B255" s="65"/>
      <c r="C255" s="65"/>
      <c r="D255" s="65"/>
      <c r="E255" s="65"/>
      <c r="F255" s="51"/>
      <c r="G255" s="51"/>
      <c r="H255" s="51"/>
      <c r="I255" s="51"/>
      <c r="J255" s="51"/>
      <c r="K255" s="45"/>
      <c r="L255" s="45"/>
      <c r="M255" s="45">
        <v>0</v>
      </c>
      <c r="O255" s="45">
        <f t="shared" si="13"/>
        <v>0</v>
      </c>
      <c r="P255" s="45">
        <f t="shared" si="13"/>
        <v>0</v>
      </c>
    </row>
    <row r="256" spans="1:16" x14ac:dyDescent="0.25">
      <c r="A256" s="44" t="s">
        <v>88</v>
      </c>
      <c r="B256" s="65"/>
      <c r="C256" s="65"/>
      <c r="D256" s="65"/>
      <c r="E256" s="65"/>
      <c r="F256" s="51"/>
      <c r="G256" s="51"/>
      <c r="H256" s="51"/>
      <c r="I256" s="51"/>
      <c r="J256" s="51"/>
      <c r="K256" s="45"/>
      <c r="L256" s="45"/>
      <c r="M256" s="45">
        <v>0</v>
      </c>
      <c r="O256" s="45">
        <f t="shared" si="13"/>
        <v>0</v>
      </c>
      <c r="P256" s="45">
        <f t="shared" si="13"/>
        <v>0</v>
      </c>
    </row>
    <row r="257" spans="1:19" ht="18" x14ac:dyDescent="0.25">
      <c r="A257" s="40" t="s">
        <v>104</v>
      </c>
      <c r="B257" s="65"/>
      <c r="C257" s="65"/>
      <c r="D257" s="65"/>
      <c r="E257" s="65"/>
      <c r="F257" s="51"/>
      <c r="G257" s="51"/>
      <c r="H257" s="51"/>
      <c r="I257" s="51"/>
      <c r="J257" s="51"/>
      <c r="K257" s="45"/>
      <c r="L257" s="45"/>
      <c r="M257" s="41">
        <v>28</v>
      </c>
      <c r="O257" s="41"/>
      <c r="P257" s="41"/>
    </row>
    <row r="258" spans="1:19" x14ac:dyDescent="0.25">
      <c r="A258" s="44" t="s">
        <v>97</v>
      </c>
      <c r="B258" s="65"/>
      <c r="C258" s="65"/>
      <c r="D258" s="65"/>
      <c r="E258" s="65"/>
      <c r="F258" s="51"/>
      <c r="G258" s="51"/>
      <c r="H258" s="51"/>
      <c r="I258" s="51"/>
      <c r="J258" s="51"/>
      <c r="K258" s="45"/>
      <c r="L258" s="45"/>
      <c r="M258" s="45">
        <v>8856</v>
      </c>
      <c r="O258" s="45">
        <f t="shared" ref="O258:P264" si="14">SUM(B258:M258)</f>
        <v>8856</v>
      </c>
      <c r="P258" s="45">
        <f t="shared" si="14"/>
        <v>8856</v>
      </c>
    </row>
    <row r="259" spans="1:19" ht="18" x14ac:dyDescent="0.25">
      <c r="A259" s="44" t="s">
        <v>102</v>
      </c>
      <c r="B259" s="65"/>
      <c r="C259" s="65"/>
      <c r="D259" s="65"/>
      <c r="E259" s="65"/>
      <c r="F259" s="51"/>
      <c r="G259" s="51"/>
      <c r="H259" s="51"/>
      <c r="I259" s="51"/>
      <c r="J259" s="51"/>
      <c r="K259" s="45"/>
      <c r="L259" s="45"/>
      <c r="M259" s="45">
        <v>1239.8399999999999</v>
      </c>
      <c r="O259" s="45">
        <f t="shared" si="14"/>
        <v>1239.8399999999999</v>
      </c>
      <c r="P259" s="45">
        <f t="shared" si="14"/>
        <v>1239.8399999999999</v>
      </c>
    </row>
    <row r="260" spans="1:19" x14ac:dyDescent="0.25">
      <c r="A260" s="44" t="s">
        <v>88</v>
      </c>
      <c r="B260" s="65"/>
      <c r="C260" s="65"/>
      <c r="D260" s="65"/>
      <c r="E260" s="65"/>
      <c r="F260" s="51"/>
      <c r="G260" s="51"/>
      <c r="H260" s="51"/>
      <c r="I260" s="51"/>
      <c r="J260" s="51"/>
      <c r="K260" s="45"/>
      <c r="L260" s="45"/>
      <c r="M260" s="45">
        <v>177.12</v>
      </c>
      <c r="O260" s="45">
        <f t="shared" si="14"/>
        <v>177.12</v>
      </c>
      <c r="P260" s="45">
        <f t="shared" si="14"/>
        <v>177.12</v>
      </c>
    </row>
    <row r="261" spans="1:19" ht="18" x14ac:dyDescent="0.25">
      <c r="A261" s="40" t="s">
        <v>105</v>
      </c>
      <c r="B261" s="65"/>
      <c r="C261" s="65"/>
      <c r="D261" s="65"/>
      <c r="E261" s="65"/>
      <c r="F261" s="51"/>
      <c r="G261" s="51"/>
      <c r="H261" s="51"/>
      <c r="I261" s="51"/>
      <c r="J261" s="51"/>
      <c r="K261" s="45"/>
      <c r="L261" s="45"/>
      <c r="M261" s="41">
        <v>0</v>
      </c>
      <c r="O261" s="41"/>
      <c r="P261" s="41"/>
    </row>
    <row r="262" spans="1:19" x14ac:dyDescent="0.25">
      <c r="A262" s="44" t="s">
        <v>97</v>
      </c>
      <c r="B262" s="65"/>
      <c r="C262" s="65"/>
      <c r="D262" s="65"/>
      <c r="E262" s="65"/>
      <c r="F262" s="51"/>
      <c r="G262" s="51"/>
      <c r="H262" s="51"/>
      <c r="I262" s="51"/>
      <c r="J262" s="51"/>
      <c r="K262" s="45"/>
      <c r="L262" s="45"/>
      <c r="M262" s="45">
        <v>0</v>
      </c>
      <c r="O262" s="45">
        <f t="shared" si="14"/>
        <v>0</v>
      </c>
      <c r="P262" s="45">
        <f t="shared" si="14"/>
        <v>0</v>
      </c>
    </row>
    <row r="263" spans="1:19" ht="18" x14ac:dyDescent="0.25">
      <c r="A263" s="44" t="s">
        <v>102</v>
      </c>
      <c r="B263" s="65"/>
      <c r="C263" s="65"/>
      <c r="D263" s="65"/>
      <c r="E263" s="65"/>
      <c r="F263" s="51"/>
      <c r="G263" s="51"/>
      <c r="H263" s="51"/>
      <c r="I263" s="51"/>
      <c r="J263" s="51"/>
      <c r="K263" s="45"/>
      <c r="L263" s="45"/>
      <c r="M263" s="45">
        <v>0</v>
      </c>
      <c r="O263" s="45">
        <f t="shared" si="14"/>
        <v>0</v>
      </c>
      <c r="P263" s="45">
        <f t="shared" si="14"/>
        <v>0</v>
      </c>
    </row>
    <row r="264" spans="1:19" x14ac:dyDescent="0.25">
      <c r="A264" s="44" t="s">
        <v>88</v>
      </c>
      <c r="B264" s="65"/>
      <c r="C264" s="65"/>
      <c r="D264" s="65"/>
      <c r="E264" s="65"/>
      <c r="F264" s="51"/>
      <c r="G264" s="51"/>
      <c r="H264" s="51"/>
      <c r="I264" s="51"/>
      <c r="J264" s="51"/>
      <c r="K264" s="45"/>
      <c r="L264" s="45"/>
      <c r="M264" s="45">
        <v>0</v>
      </c>
      <c r="O264" s="45">
        <f t="shared" si="14"/>
        <v>0</v>
      </c>
      <c r="P264" s="45">
        <f t="shared" si="14"/>
        <v>0</v>
      </c>
    </row>
    <row r="265" spans="1:19" ht="18" x14ac:dyDescent="0.25">
      <c r="A265" s="40" t="s">
        <v>106</v>
      </c>
      <c r="B265" s="65"/>
      <c r="C265" s="65"/>
      <c r="D265" s="65"/>
      <c r="E265" s="65"/>
      <c r="F265" s="51"/>
      <c r="G265" s="51"/>
      <c r="H265" s="51"/>
      <c r="I265" s="51"/>
      <c r="J265" s="51"/>
      <c r="K265" s="45"/>
      <c r="L265" s="45"/>
      <c r="M265" s="41">
        <v>0</v>
      </c>
      <c r="O265" s="41"/>
      <c r="P265" s="41"/>
    </row>
    <row r="266" spans="1:19" x14ac:dyDescent="0.25">
      <c r="A266" s="44" t="s">
        <v>97</v>
      </c>
      <c r="B266" s="65"/>
      <c r="C266" s="65"/>
      <c r="D266" s="65"/>
      <c r="E266" s="65"/>
      <c r="F266" s="51"/>
      <c r="G266" s="51"/>
      <c r="H266" s="51"/>
      <c r="I266" s="51"/>
      <c r="J266" s="51"/>
      <c r="K266" s="45"/>
      <c r="L266" s="45"/>
      <c r="M266" s="45">
        <v>0</v>
      </c>
      <c r="O266" s="45">
        <f t="shared" ref="O266:P268" si="15">SUM(B266:M266)</f>
        <v>0</v>
      </c>
      <c r="P266" s="45">
        <f t="shared" si="15"/>
        <v>0</v>
      </c>
    </row>
    <row r="267" spans="1:19" ht="18" x14ac:dyDescent="0.25">
      <c r="A267" s="44" t="s">
        <v>102</v>
      </c>
      <c r="B267" s="65"/>
      <c r="C267" s="65"/>
      <c r="D267" s="65"/>
      <c r="E267" s="65"/>
      <c r="F267" s="51"/>
      <c r="G267" s="51"/>
      <c r="H267" s="51"/>
      <c r="I267" s="51"/>
      <c r="J267" s="51"/>
      <c r="K267" s="45"/>
      <c r="L267" s="45"/>
      <c r="M267" s="45">
        <v>0</v>
      </c>
      <c r="O267" s="45">
        <f t="shared" si="15"/>
        <v>0</v>
      </c>
      <c r="P267" s="45">
        <f t="shared" si="15"/>
        <v>0</v>
      </c>
    </row>
    <row r="268" spans="1:19" x14ac:dyDescent="0.25">
      <c r="A268" s="44" t="s">
        <v>88</v>
      </c>
      <c r="B268" s="65"/>
      <c r="C268" s="65"/>
      <c r="D268" s="65"/>
      <c r="E268" s="65"/>
      <c r="F268" s="51"/>
      <c r="G268" s="51"/>
      <c r="H268" s="51"/>
      <c r="I268" s="51"/>
      <c r="J268" s="51"/>
      <c r="K268" s="45"/>
      <c r="L268" s="45"/>
      <c r="M268" s="45">
        <v>0</v>
      </c>
      <c r="O268" s="45">
        <f t="shared" si="15"/>
        <v>0</v>
      </c>
      <c r="P268" s="45">
        <f t="shared" si="15"/>
        <v>0</v>
      </c>
    </row>
    <row r="269" spans="1:19" x14ac:dyDescent="0.25">
      <c r="A269" s="44"/>
      <c r="B269" s="65"/>
      <c r="C269" s="65"/>
      <c r="D269" s="65"/>
      <c r="E269" s="65"/>
      <c r="F269" s="51"/>
      <c r="G269" s="51"/>
      <c r="H269" s="51"/>
      <c r="I269" s="51"/>
      <c r="J269" s="51"/>
      <c r="K269" s="45"/>
      <c r="L269" s="45"/>
      <c r="M269" s="45"/>
      <c r="O269" s="51"/>
      <c r="P269" s="51"/>
    </row>
    <row r="270" spans="1:19" x14ac:dyDescent="0.25">
      <c r="A270" s="39" t="s">
        <v>96</v>
      </c>
      <c r="B270" s="45"/>
      <c r="C270" s="45"/>
      <c r="D270" s="45"/>
      <c r="E270" s="51"/>
      <c r="F270" s="51"/>
      <c r="G270" s="51"/>
      <c r="H270" s="51"/>
      <c r="I270" s="51"/>
      <c r="J270" s="51"/>
      <c r="K270" s="45"/>
      <c r="L270" s="45"/>
      <c r="M270" s="45"/>
      <c r="O270" s="51"/>
      <c r="P270" s="51"/>
    </row>
    <row r="271" spans="1:19" x14ac:dyDescent="0.25">
      <c r="A271" s="40" t="s">
        <v>87</v>
      </c>
      <c r="B271" s="64">
        <v>1037.0999999999999</v>
      </c>
      <c r="C271" s="64">
        <v>1023.8</v>
      </c>
      <c r="D271" s="64">
        <v>1020</v>
      </c>
      <c r="E271" s="66">
        <v>1015</v>
      </c>
      <c r="F271" s="66">
        <v>1013.4</v>
      </c>
      <c r="G271" s="66">
        <v>1015.6</v>
      </c>
      <c r="H271" s="66">
        <v>1025.8</v>
      </c>
      <c r="I271" s="66">
        <v>1049.2</v>
      </c>
      <c r="J271" s="66">
        <v>1040.8</v>
      </c>
      <c r="K271" s="64">
        <v>1041.2</v>
      </c>
      <c r="L271" s="64">
        <v>1042.2</v>
      </c>
      <c r="M271" s="64">
        <f>+M249+1043.2</f>
        <v>1071.2</v>
      </c>
      <c r="O271" s="41"/>
      <c r="P271" s="41"/>
    </row>
    <row r="272" spans="1:19" x14ac:dyDescent="0.25">
      <c r="A272" s="44" t="s">
        <v>97</v>
      </c>
      <c r="B272" s="45">
        <v>56482941.009999998</v>
      </c>
      <c r="C272" s="45">
        <v>59861455.979999997</v>
      </c>
      <c r="D272" s="45">
        <v>59301909.839999996</v>
      </c>
      <c r="E272" s="45">
        <v>55296643.149999999</v>
      </c>
      <c r="F272" s="45">
        <v>55869257.570000008</v>
      </c>
      <c r="G272" s="45">
        <v>60383436.600000001</v>
      </c>
      <c r="H272" s="45">
        <v>59378323.980000004</v>
      </c>
      <c r="I272" s="45">
        <v>55348241.310000002</v>
      </c>
      <c r="J272" s="45">
        <v>67383246.739999995</v>
      </c>
      <c r="K272" s="45">
        <v>61552333.850000001</v>
      </c>
      <c r="L272" s="45">
        <v>62758498.609999999</v>
      </c>
      <c r="M272" s="45">
        <v>59490874.509999998</v>
      </c>
      <c r="O272" s="45">
        <f>SUM(B272:M272)</f>
        <v>713107163.1500001</v>
      </c>
      <c r="P272" s="45">
        <f>O272+1171565834.86</f>
        <v>1884672998.01</v>
      </c>
      <c r="Q272" s="68"/>
      <c r="R272" s="67"/>
      <c r="S272" s="67"/>
    </row>
    <row r="273" spans="1:19" ht="18" x14ac:dyDescent="0.25">
      <c r="A273" s="44" t="s">
        <v>102</v>
      </c>
      <c r="B273" s="45">
        <v>7485074.1999999993</v>
      </c>
      <c r="C273" s="45">
        <v>7481525.629999999</v>
      </c>
      <c r="D273" s="45">
        <v>7365162.6399999997</v>
      </c>
      <c r="E273" s="45">
        <v>6786956.7400000002</v>
      </c>
      <c r="F273" s="45">
        <v>6880498.2599999998</v>
      </c>
      <c r="G273" s="45">
        <v>7413766.1699999999</v>
      </c>
      <c r="H273" s="45">
        <v>7326009.2699999986</v>
      </c>
      <c r="I273" s="45">
        <v>6880286.9399999995</v>
      </c>
      <c r="J273" s="45">
        <v>8364013.6999999993</v>
      </c>
      <c r="K273" s="45">
        <v>7628797.8700000001</v>
      </c>
      <c r="L273" s="45">
        <v>7751629.5800000001</v>
      </c>
      <c r="M273" s="45">
        <v>7329812.0599999996</v>
      </c>
      <c r="O273" s="45">
        <f>SUM(B273:M273)</f>
        <v>88693533.060000002</v>
      </c>
      <c r="P273" s="45">
        <f>O273+165381311.53</f>
        <v>254074844.59</v>
      </c>
      <c r="Q273" s="68"/>
      <c r="R273" s="67"/>
      <c r="S273" s="67"/>
    </row>
    <row r="274" spans="1:19" x14ac:dyDescent="0.25">
      <c r="A274" s="44" t="s">
        <v>88</v>
      </c>
      <c r="B274" s="45">
        <v>1129658.9400000002</v>
      </c>
      <c r="C274" s="45">
        <v>1197229.17</v>
      </c>
      <c r="D274" s="45">
        <v>1186038.2</v>
      </c>
      <c r="E274" s="45">
        <v>1105932.9100000001</v>
      </c>
      <c r="F274" s="45">
        <v>1117385.24</v>
      </c>
      <c r="G274" s="45">
        <v>1207668.8700000001</v>
      </c>
      <c r="H274" s="45">
        <v>1187566.56</v>
      </c>
      <c r="I274" s="45">
        <v>1106964.9300000002</v>
      </c>
      <c r="J274" s="45">
        <v>1347665.04</v>
      </c>
      <c r="K274" s="45">
        <v>1231046.76</v>
      </c>
      <c r="L274" s="45">
        <v>1255170.08</v>
      </c>
      <c r="M274" s="45">
        <v>1189817.5900000001</v>
      </c>
      <c r="O274" s="45">
        <f>SUM(B274:M274)</f>
        <v>14262144.289999999</v>
      </c>
      <c r="P274" s="45">
        <f>O274+23431317.94</f>
        <v>37693462.230000004</v>
      </c>
      <c r="Q274" s="68"/>
      <c r="R274" s="67"/>
      <c r="S274" s="67"/>
    </row>
    <row r="275" spans="1:19" ht="18" x14ac:dyDescent="0.25">
      <c r="A275" s="40" t="s">
        <v>103</v>
      </c>
      <c r="B275" s="41">
        <v>219</v>
      </c>
      <c r="C275" s="41">
        <v>215</v>
      </c>
      <c r="D275" s="41">
        <v>214</v>
      </c>
      <c r="E275" s="41">
        <v>214</v>
      </c>
      <c r="F275" s="41">
        <v>214</v>
      </c>
      <c r="G275" s="41">
        <v>214</v>
      </c>
      <c r="H275" s="41">
        <v>215.2</v>
      </c>
      <c r="I275" s="41">
        <v>220</v>
      </c>
      <c r="J275" s="41">
        <v>220</v>
      </c>
      <c r="K275" s="41">
        <v>220</v>
      </c>
      <c r="L275" s="41">
        <v>220</v>
      </c>
      <c r="M275" s="41">
        <v>219.2</v>
      </c>
      <c r="O275" s="41"/>
      <c r="P275" s="41"/>
      <c r="Q275" s="69"/>
      <c r="R275" s="67"/>
    </row>
    <row r="276" spans="1:19" x14ac:dyDescent="0.25">
      <c r="A276" s="44" t="s">
        <v>97</v>
      </c>
      <c r="B276" s="45">
        <v>5182862.07</v>
      </c>
      <c r="C276" s="45">
        <v>5276746.0199999996</v>
      </c>
      <c r="D276" s="45">
        <v>4611768.5</v>
      </c>
      <c r="E276" s="45">
        <v>4647338.0999999996</v>
      </c>
      <c r="F276" s="45">
        <v>4891461.87</v>
      </c>
      <c r="G276" s="45">
        <v>5105330.5</v>
      </c>
      <c r="H276" s="45">
        <v>4985256.01</v>
      </c>
      <c r="I276" s="45">
        <v>5146405.01</v>
      </c>
      <c r="J276" s="45">
        <v>5697189.5</v>
      </c>
      <c r="K276" s="45">
        <v>4831880.34</v>
      </c>
      <c r="L276" s="45">
        <v>5128268.41</v>
      </c>
      <c r="M276" s="45">
        <v>4538903.5</v>
      </c>
      <c r="O276" s="45">
        <f>SUM(B276:M276)</f>
        <v>60043409.829999998</v>
      </c>
      <c r="P276" s="45">
        <f>O276+112770394.42</f>
        <v>172813804.25</v>
      </c>
      <c r="Q276" s="68"/>
      <c r="R276" s="67"/>
      <c r="S276" s="67"/>
    </row>
    <row r="277" spans="1:19" ht="18" x14ac:dyDescent="0.25">
      <c r="A277" s="44" t="s">
        <v>102</v>
      </c>
      <c r="B277" s="45">
        <v>670091.99</v>
      </c>
      <c r="C277" s="45">
        <v>633209.52</v>
      </c>
      <c r="D277" s="45">
        <v>553412.22</v>
      </c>
      <c r="E277" s="45">
        <v>557680.56999999995</v>
      </c>
      <c r="F277" s="45">
        <v>586975.43000000005</v>
      </c>
      <c r="G277" s="45">
        <v>612639.66</v>
      </c>
      <c r="H277" s="45">
        <v>598231.12</v>
      </c>
      <c r="I277" s="45">
        <v>617568.6</v>
      </c>
      <c r="J277" s="45">
        <v>683662.74</v>
      </c>
      <c r="K277" s="45">
        <v>579825.64</v>
      </c>
      <c r="L277" s="45">
        <v>615392.21000000008</v>
      </c>
      <c r="M277" s="45">
        <v>544668.42000000004</v>
      </c>
      <c r="O277" s="45">
        <f>SUM(B277:M277)</f>
        <v>7253358.1199999992</v>
      </c>
      <c r="P277" s="45">
        <f>O277+15787855.19</f>
        <v>23041213.309999999</v>
      </c>
      <c r="Q277" s="68"/>
      <c r="R277" s="67"/>
      <c r="S277" s="67"/>
    </row>
    <row r="278" spans="1:19" x14ac:dyDescent="0.25">
      <c r="A278" s="44" t="s">
        <v>88</v>
      </c>
      <c r="B278" s="45">
        <v>103657.23999999999</v>
      </c>
      <c r="C278" s="45">
        <v>105534.92</v>
      </c>
      <c r="D278" s="45">
        <v>92235.37000000001</v>
      </c>
      <c r="E278" s="45">
        <v>92946.760000000009</v>
      </c>
      <c r="F278" s="45">
        <v>97829.24</v>
      </c>
      <c r="G278" s="45">
        <v>102106.60999999999</v>
      </c>
      <c r="H278" s="45">
        <v>99705.12000000001</v>
      </c>
      <c r="I278" s="45">
        <v>102928.10999999999</v>
      </c>
      <c r="J278" s="45">
        <v>113943.79000000001</v>
      </c>
      <c r="K278" s="45">
        <v>96637.61</v>
      </c>
      <c r="L278" s="45">
        <v>102565.37000000001</v>
      </c>
      <c r="M278" s="45">
        <v>90778.07</v>
      </c>
      <c r="O278" s="45">
        <f>SUM(B278:M278)</f>
        <v>1200868.21</v>
      </c>
      <c r="P278" s="45">
        <f>O278+2255407.89</f>
        <v>3456276.1</v>
      </c>
      <c r="Q278" s="68"/>
      <c r="R278" s="67"/>
      <c r="S278" s="67"/>
    </row>
    <row r="279" spans="1:19" ht="18" x14ac:dyDescent="0.25">
      <c r="A279" s="40" t="s">
        <v>104</v>
      </c>
      <c r="B279" s="41">
        <v>795.1</v>
      </c>
      <c r="C279" s="41">
        <v>784.8</v>
      </c>
      <c r="D279" s="41">
        <v>782</v>
      </c>
      <c r="E279" s="41">
        <v>777.4</v>
      </c>
      <c r="F279" s="41">
        <v>776.4</v>
      </c>
      <c r="G279" s="41">
        <v>778.6</v>
      </c>
      <c r="H279" s="41">
        <v>787.6</v>
      </c>
      <c r="I279" s="41">
        <v>804.2</v>
      </c>
      <c r="J279" s="41">
        <v>795.8</v>
      </c>
      <c r="K279" s="41">
        <v>796.2</v>
      </c>
      <c r="L279" s="41">
        <v>797.2</v>
      </c>
      <c r="M279" s="41">
        <f>+M257+799</f>
        <v>827</v>
      </c>
      <c r="O279" s="41"/>
      <c r="P279" s="41"/>
      <c r="Q279" s="69"/>
      <c r="R279" s="67"/>
    </row>
    <row r="280" spans="1:19" x14ac:dyDescent="0.25">
      <c r="A280" s="44" t="s">
        <v>97</v>
      </c>
      <c r="B280" s="45">
        <v>50925427.439999998</v>
      </c>
      <c r="C280" s="45">
        <v>54199459.960000001</v>
      </c>
      <c r="D280" s="45">
        <v>54389438.339999996</v>
      </c>
      <c r="E280" s="45">
        <v>50332437.549999997</v>
      </c>
      <c r="F280" s="45">
        <v>50613210.700000003</v>
      </c>
      <c r="G280" s="45">
        <v>54938779.600000001</v>
      </c>
      <c r="H280" s="45">
        <v>53953150.470000006</v>
      </c>
      <c r="I280" s="45">
        <v>49644070.299999997</v>
      </c>
      <c r="J280" s="45">
        <v>61074957.240000002</v>
      </c>
      <c r="K280" s="45">
        <v>56171289.509999998</v>
      </c>
      <c r="L280" s="45">
        <v>57173628.200000003</v>
      </c>
      <c r="M280" s="45">
        <v>54550822.009999998</v>
      </c>
      <c r="O280" s="45">
        <f t="shared" ref="O280:O286" si="16">SUM(B280:M280)</f>
        <v>647966671.32000005</v>
      </c>
      <c r="P280" s="45">
        <f>O280+1047028483.58</f>
        <v>1694995154.9000001</v>
      </c>
      <c r="Q280" s="68"/>
      <c r="R280" s="67"/>
      <c r="S280" s="67"/>
    </row>
    <row r="281" spans="1:19" ht="18" x14ac:dyDescent="0.25">
      <c r="A281" s="44" t="s">
        <v>102</v>
      </c>
      <c r="B281" s="45">
        <v>6649950.0299999993</v>
      </c>
      <c r="C281" s="45">
        <v>6681840.0099999998</v>
      </c>
      <c r="D281" s="45">
        <v>6675166.8200000003</v>
      </c>
      <c r="E281" s="45">
        <v>6084836.3200000003</v>
      </c>
      <c r="F281" s="45">
        <v>6125813.7300000004</v>
      </c>
      <c r="G281" s="45">
        <v>6645036.3200000003</v>
      </c>
      <c r="H281" s="45">
        <v>6525416.0999999996</v>
      </c>
      <c r="I281" s="45">
        <v>6006145.9799999995</v>
      </c>
      <c r="J281" s="45">
        <v>7399244.96</v>
      </c>
      <c r="K281" s="45">
        <v>6796356.79</v>
      </c>
      <c r="L281" s="45">
        <v>6926200.4499999993</v>
      </c>
      <c r="M281" s="45">
        <v>6600615.1000000006</v>
      </c>
      <c r="O281" s="45">
        <f t="shared" si="16"/>
        <v>79116622.609999999</v>
      </c>
      <c r="P281" s="45">
        <f>O281+146583988.83</f>
        <v>225700611.44</v>
      </c>
      <c r="Q281" s="68"/>
      <c r="R281" s="67"/>
      <c r="S281" s="67"/>
    </row>
    <row r="282" spans="1:19" x14ac:dyDescent="0.25">
      <c r="A282" s="44" t="s">
        <v>88</v>
      </c>
      <c r="B282" s="45">
        <v>1018508.6700000002</v>
      </c>
      <c r="C282" s="45">
        <v>1083989.25</v>
      </c>
      <c r="D282" s="45">
        <v>1087788.77</v>
      </c>
      <c r="E282" s="45">
        <v>1006648.82</v>
      </c>
      <c r="F282" s="45">
        <v>1012264.2999999999</v>
      </c>
      <c r="G282" s="45">
        <v>1098775.73</v>
      </c>
      <c r="H282" s="45">
        <v>1079063.0900000001</v>
      </c>
      <c r="I282" s="45">
        <v>992881.50000000012</v>
      </c>
      <c r="J282" s="45">
        <v>1221499.25</v>
      </c>
      <c r="K282" s="45">
        <v>1123425.8700000001</v>
      </c>
      <c r="L282" s="45">
        <v>1143472.67</v>
      </c>
      <c r="M282" s="45">
        <v>1091016.54</v>
      </c>
      <c r="O282" s="45">
        <f t="shared" si="16"/>
        <v>12959334.460000001</v>
      </c>
      <c r="P282" s="45">
        <f>O282+20940571.01</f>
        <v>33899905.469999999</v>
      </c>
      <c r="Q282" s="68"/>
      <c r="R282" s="67"/>
      <c r="S282" s="67"/>
    </row>
    <row r="283" spans="1:19" ht="18" x14ac:dyDescent="0.25">
      <c r="A283" s="40" t="s">
        <v>105</v>
      </c>
      <c r="B283" s="41">
        <v>0</v>
      </c>
      <c r="C283" s="41">
        <v>1</v>
      </c>
      <c r="D283" s="41">
        <v>1</v>
      </c>
      <c r="E283" s="41">
        <v>0.6</v>
      </c>
      <c r="F283" s="41">
        <v>0</v>
      </c>
      <c r="G283" s="41">
        <v>0</v>
      </c>
      <c r="H283" s="41">
        <v>0</v>
      </c>
      <c r="I283" s="41">
        <v>0</v>
      </c>
      <c r="J283" s="41">
        <v>0</v>
      </c>
      <c r="K283" s="41">
        <v>0</v>
      </c>
      <c r="L283" s="41">
        <v>0</v>
      </c>
      <c r="M283" s="41">
        <v>0</v>
      </c>
      <c r="O283" s="41"/>
      <c r="P283" s="41"/>
      <c r="Q283" s="69"/>
      <c r="R283" s="67"/>
    </row>
    <row r="284" spans="1:19" x14ac:dyDescent="0.25">
      <c r="A284" s="44" t="s">
        <v>97</v>
      </c>
      <c r="B284" s="45">
        <v>32129</v>
      </c>
      <c r="C284" s="45">
        <v>31585</v>
      </c>
      <c r="D284" s="45">
        <v>5117</v>
      </c>
      <c r="E284" s="45">
        <v>3880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O284" s="45">
        <f t="shared" si="16"/>
        <v>72711</v>
      </c>
      <c r="P284" s="45">
        <f>O284+7760799.36</f>
        <v>7833510.3600000003</v>
      </c>
      <c r="Q284" s="68"/>
      <c r="R284" s="67"/>
      <c r="S284" s="67"/>
    </row>
    <row r="285" spans="1:19" ht="18" x14ac:dyDescent="0.25">
      <c r="A285" s="44" t="s">
        <v>102</v>
      </c>
      <c r="B285" s="45">
        <v>3855.48</v>
      </c>
      <c r="C285" s="45">
        <v>3790.2</v>
      </c>
      <c r="D285" s="45">
        <v>614.04</v>
      </c>
      <c r="E285" s="45">
        <v>465.6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O285" s="45">
        <f t="shared" si="16"/>
        <v>8725.3200000000015</v>
      </c>
      <c r="P285" s="45">
        <f>O285+1086511.91</f>
        <v>1095237.23</v>
      </c>
      <c r="Q285" s="68"/>
      <c r="R285" s="67"/>
      <c r="S285" s="67"/>
    </row>
    <row r="286" spans="1:19" x14ac:dyDescent="0.25">
      <c r="A286" s="44" t="s">
        <v>88</v>
      </c>
      <c r="B286" s="45">
        <v>642.58000000000004</v>
      </c>
      <c r="C286" s="45">
        <v>631.70000000000005</v>
      </c>
      <c r="D286" s="45">
        <v>102.34</v>
      </c>
      <c r="E286" s="45">
        <v>77.599999999999994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O286" s="45">
        <f t="shared" si="16"/>
        <v>1454.22</v>
      </c>
      <c r="P286" s="45">
        <f>O286+155215.99</f>
        <v>156670.21</v>
      </c>
      <c r="Q286" s="68"/>
      <c r="R286" s="67"/>
      <c r="S286" s="67"/>
    </row>
    <row r="287" spans="1:19" ht="18" x14ac:dyDescent="0.25">
      <c r="A287" s="40" t="s">
        <v>106</v>
      </c>
      <c r="B287" s="41">
        <v>23</v>
      </c>
      <c r="C287" s="41">
        <v>23</v>
      </c>
      <c r="D287" s="41">
        <v>23</v>
      </c>
      <c r="E287" s="41">
        <v>23</v>
      </c>
      <c r="F287" s="41">
        <v>23</v>
      </c>
      <c r="G287" s="41">
        <v>23</v>
      </c>
      <c r="H287" s="41">
        <v>23</v>
      </c>
      <c r="I287" s="41">
        <v>25</v>
      </c>
      <c r="J287" s="41">
        <v>25</v>
      </c>
      <c r="K287" s="41">
        <v>25</v>
      </c>
      <c r="L287" s="41">
        <v>25</v>
      </c>
      <c r="M287" s="41">
        <v>25</v>
      </c>
      <c r="O287" s="41"/>
      <c r="P287" s="41"/>
      <c r="Q287" s="68"/>
      <c r="R287" s="67"/>
    </row>
    <row r="288" spans="1:19" x14ac:dyDescent="0.25">
      <c r="A288" s="44" t="s">
        <v>97</v>
      </c>
      <c r="B288" s="45">
        <v>342522.5</v>
      </c>
      <c r="C288" s="45">
        <v>353665</v>
      </c>
      <c r="D288" s="45">
        <v>295586</v>
      </c>
      <c r="E288" s="45">
        <v>312987.5</v>
      </c>
      <c r="F288" s="45">
        <v>364585</v>
      </c>
      <c r="G288" s="45">
        <v>339326.5</v>
      </c>
      <c r="H288" s="45">
        <v>439917.5</v>
      </c>
      <c r="I288" s="45">
        <v>557766</v>
      </c>
      <c r="J288" s="45">
        <v>611100</v>
      </c>
      <c r="K288" s="45">
        <v>549164</v>
      </c>
      <c r="L288" s="45">
        <v>456602</v>
      </c>
      <c r="M288" s="45">
        <v>401149</v>
      </c>
      <c r="O288" s="45">
        <f>SUM(B288:M288)</f>
        <v>5024371</v>
      </c>
      <c r="P288" s="45">
        <f>O288+4006157.5</f>
        <v>9030528.5</v>
      </c>
      <c r="Q288" s="68"/>
      <c r="R288" s="67"/>
      <c r="S288" s="67"/>
    </row>
    <row r="289" spans="1:19" ht="18" x14ac:dyDescent="0.25">
      <c r="A289" s="44" t="s">
        <v>102</v>
      </c>
      <c r="B289" s="45">
        <v>161176.70000000001</v>
      </c>
      <c r="C289" s="45">
        <v>162685.90000000002</v>
      </c>
      <c r="D289" s="45">
        <v>135969.56</v>
      </c>
      <c r="E289" s="45">
        <v>143974.25</v>
      </c>
      <c r="F289" s="45">
        <v>167709.1</v>
      </c>
      <c r="G289" s="45">
        <v>156090.19</v>
      </c>
      <c r="H289" s="45">
        <v>202362.05</v>
      </c>
      <c r="I289" s="45">
        <v>256572.36</v>
      </c>
      <c r="J289" s="45">
        <v>281106</v>
      </c>
      <c r="K289" s="45">
        <v>252615.44</v>
      </c>
      <c r="L289" s="45">
        <v>210036.91999999998</v>
      </c>
      <c r="M289" s="45">
        <v>184528.53999999998</v>
      </c>
      <c r="O289" s="45">
        <f>SUM(B289:M289)</f>
        <v>2314827.0099999998</v>
      </c>
      <c r="P289" s="45">
        <f>O289+1922955.6</f>
        <v>4237782.6099999994</v>
      </c>
      <c r="Q289" s="68"/>
      <c r="R289" s="67"/>
      <c r="S289" s="67"/>
    </row>
    <row r="290" spans="1:19" x14ac:dyDescent="0.25">
      <c r="A290" s="44" t="s">
        <v>88</v>
      </c>
      <c r="B290" s="45">
        <v>6850.4500000000007</v>
      </c>
      <c r="C290" s="45">
        <v>7073.3</v>
      </c>
      <c r="D290" s="45">
        <v>5911.7200000000012</v>
      </c>
      <c r="E290" s="45">
        <v>6259.75</v>
      </c>
      <c r="F290" s="45">
        <v>7291.7</v>
      </c>
      <c r="G290" s="45">
        <v>6786.5300000000007</v>
      </c>
      <c r="H290" s="45">
        <v>8798.3500000000022</v>
      </c>
      <c r="I290" s="45">
        <v>11155.32</v>
      </c>
      <c r="J290" s="45">
        <v>12222</v>
      </c>
      <c r="K290" s="45">
        <v>10983.279999999999</v>
      </c>
      <c r="L290" s="45">
        <v>9132.0400000000009</v>
      </c>
      <c r="M290" s="45">
        <v>8022.9800000000005</v>
      </c>
      <c r="O290" s="45">
        <f>SUM(B290:M290)</f>
        <v>100487.42</v>
      </c>
      <c r="P290" s="45">
        <f>O290+80123.15</f>
        <v>180610.57</v>
      </c>
      <c r="Q290" s="68"/>
      <c r="R290" s="67"/>
      <c r="S290" s="67"/>
    </row>
    <row r="291" spans="1:19" x14ac:dyDescent="0.25">
      <c r="B291" s="45"/>
      <c r="C291" s="41"/>
      <c r="D291" s="41"/>
      <c r="E291" s="41"/>
      <c r="F291" s="45"/>
      <c r="G291" s="45"/>
      <c r="H291" s="45"/>
      <c r="I291" s="45"/>
      <c r="J291" s="45"/>
      <c r="K291" s="45"/>
      <c r="L291" s="45"/>
      <c r="M291" s="45"/>
      <c r="O291" s="45"/>
      <c r="P291" s="45"/>
    </row>
    <row r="292" spans="1:19" x14ac:dyDescent="0.25">
      <c r="B292" s="45"/>
      <c r="C292" s="41"/>
      <c r="D292" s="41"/>
      <c r="E292" s="45"/>
      <c r="F292" s="45"/>
      <c r="G292" s="45"/>
      <c r="H292" s="45"/>
      <c r="I292" s="45"/>
      <c r="J292" s="45"/>
      <c r="K292" s="45"/>
      <c r="L292" s="45"/>
      <c r="M292" s="45"/>
      <c r="O292" s="45"/>
      <c r="P292" s="45"/>
    </row>
    <row r="293" spans="1:19" x14ac:dyDescent="0.25">
      <c r="B293" s="45"/>
      <c r="C293" s="41"/>
      <c r="D293" s="41"/>
      <c r="E293" s="45"/>
      <c r="F293" s="41"/>
      <c r="G293" s="41"/>
      <c r="H293" s="41"/>
      <c r="I293" s="41"/>
      <c r="J293" s="41"/>
      <c r="K293" s="45"/>
      <c r="L293" s="45"/>
      <c r="M293" s="45"/>
      <c r="O293" s="45"/>
      <c r="P293" s="45"/>
    </row>
    <row r="294" spans="1:19" x14ac:dyDescent="0.25">
      <c r="B294" s="41"/>
      <c r="C294" s="41"/>
      <c r="D294" s="41"/>
      <c r="E294" s="45"/>
      <c r="F294" s="41"/>
      <c r="G294" s="45"/>
      <c r="H294" s="45"/>
      <c r="I294" s="45"/>
      <c r="J294" s="45"/>
      <c r="K294" s="41"/>
      <c r="L294" s="41"/>
      <c r="M294" s="45"/>
      <c r="O294" s="45"/>
      <c r="P294" s="45"/>
    </row>
    <row r="295" spans="1:19" x14ac:dyDescent="0.25">
      <c r="B295" s="45"/>
      <c r="C295" s="41"/>
      <c r="D295" s="41"/>
      <c r="E295" s="41"/>
      <c r="F295" s="41"/>
      <c r="G295" s="45"/>
      <c r="H295" s="45"/>
      <c r="I295" s="45"/>
      <c r="J295" s="45"/>
      <c r="K295" s="45"/>
      <c r="L295" s="45"/>
      <c r="M295" s="45"/>
      <c r="O295" s="45"/>
      <c r="P295" s="45"/>
    </row>
    <row r="296" spans="1:19" x14ac:dyDescent="0.25">
      <c r="B296" s="45"/>
      <c r="C296" s="41"/>
      <c r="D296" s="41"/>
      <c r="E296" s="45"/>
      <c r="F296" s="41"/>
      <c r="G296" s="45"/>
      <c r="H296" s="45"/>
      <c r="I296" s="45"/>
      <c r="J296" s="45"/>
      <c r="K296" s="45"/>
      <c r="L296" s="45"/>
      <c r="M296" s="45"/>
      <c r="O296" s="45"/>
      <c r="P296" s="45"/>
    </row>
    <row r="297" spans="1:19" x14ac:dyDescent="0.25">
      <c r="B297" s="45"/>
      <c r="C297" s="41"/>
      <c r="D297" s="41"/>
      <c r="E297" s="45"/>
      <c r="F297" s="41"/>
      <c r="G297" s="41"/>
      <c r="H297" s="41"/>
      <c r="I297" s="41"/>
      <c r="J297" s="41"/>
      <c r="K297" s="45"/>
      <c r="L297" s="45"/>
      <c r="M297" s="45"/>
      <c r="O297" s="45"/>
      <c r="P297" s="45"/>
    </row>
    <row r="298" spans="1:19" x14ac:dyDescent="0.25">
      <c r="B298" s="41"/>
      <c r="C298" s="41"/>
      <c r="D298" s="41"/>
      <c r="E298" s="45"/>
      <c r="F298" s="41"/>
      <c r="G298" s="45"/>
      <c r="H298" s="45"/>
      <c r="I298" s="45"/>
      <c r="J298" s="45"/>
      <c r="K298" s="41"/>
      <c r="L298" s="41"/>
      <c r="M298" s="45"/>
      <c r="O298" s="45"/>
      <c r="P298" s="45"/>
    </row>
    <row r="299" spans="1:19" x14ac:dyDescent="0.25">
      <c r="B299" s="45"/>
      <c r="C299" s="41"/>
      <c r="D299" s="41"/>
      <c r="E299" s="41"/>
      <c r="F299" s="41"/>
      <c r="G299" s="45"/>
      <c r="H299" s="45"/>
      <c r="I299" s="45"/>
      <c r="J299" s="45"/>
      <c r="K299" s="45"/>
      <c r="L299" s="45"/>
      <c r="M299" s="45"/>
      <c r="O299" s="45"/>
      <c r="P299" s="45"/>
    </row>
    <row r="300" spans="1:19" x14ac:dyDescent="0.25">
      <c r="B300" s="45"/>
      <c r="C300" s="41"/>
      <c r="D300" s="41"/>
      <c r="E300" s="45"/>
      <c r="F300" s="41"/>
      <c r="G300" s="45"/>
      <c r="H300" s="45"/>
      <c r="I300" s="45"/>
      <c r="J300" s="45"/>
      <c r="K300" s="45"/>
      <c r="L300" s="45"/>
      <c r="M300" s="45"/>
      <c r="O300" s="45"/>
      <c r="P300" s="45"/>
    </row>
    <row r="301" spans="1:19" x14ac:dyDescent="0.25">
      <c r="B301" s="45"/>
      <c r="C301" s="41"/>
      <c r="D301" s="41"/>
      <c r="E301" s="45"/>
      <c r="F301" s="41"/>
      <c r="I301" s="35"/>
      <c r="K301" s="45"/>
      <c r="L301" s="45"/>
      <c r="M301" s="45"/>
      <c r="O301" s="45"/>
      <c r="P301" s="45"/>
    </row>
    <row r="302" spans="1:19" x14ac:dyDescent="0.25">
      <c r="B302" s="45"/>
      <c r="C302" s="45"/>
      <c r="D302" s="45"/>
      <c r="E302" s="45"/>
      <c r="F302" s="41"/>
      <c r="I302" s="35"/>
      <c r="M302" s="45"/>
      <c r="O302" s="45"/>
      <c r="P302" s="45"/>
    </row>
    <row r="303" spans="1:19" x14ac:dyDescent="0.25">
      <c r="B303" s="45"/>
      <c r="C303" s="45"/>
      <c r="D303" s="45"/>
      <c r="E303" s="41"/>
      <c r="F303" s="41"/>
      <c r="I303" s="35"/>
      <c r="M303" s="45"/>
      <c r="O303" s="45"/>
      <c r="P303" s="45"/>
    </row>
    <row r="304" spans="1:19" x14ac:dyDescent="0.25">
      <c r="B304" s="45"/>
      <c r="C304" s="41"/>
      <c r="D304" s="41"/>
      <c r="E304" s="45"/>
      <c r="F304" s="41"/>
      <c r="I304" s="35"/>
      <c r="M304" s="45"/>
      <c r="O304" s="45"/>
      <c r="P304" s="45"/>
    </row>
    <row r="305" spans="2:16" x14ac:dyDescent="0.25">
      <c r="B305" s="41"/>
      <c r="C305" s="45"/>
      <c r="D305" s="45"/>
      <c r="E305" s="45"/>
      <c r="F305" s="41"/>
      <c r="I305" s="35"/>
      <c r="M305" s="45"/>
      <c r="O305" s="45"/>
      <c r="P305" s="45"/>
    </row>
    <row r="306" spans="2:16" x14ac:dyDescent="0.25">
      <c r="B306" s="45"/>
      <c r="C306" s="45"/>
      <c r="D306" s="45"/>
      <c r="E306" s="45"/>
      <c r="F306" s="41"/>
      <c r="I306" s="35"/>
      <c r="M306" s="45"/>
      <c r="O306" s="45"/>
      <c r="P306" s="45"/>
    </row>
    <row r="307" spans="2:16" x14ac:dyDescent="0.25">
      <c r="B307" s="45"/>
      <c r="C307" s="45"/>
      <c r="D307" s="45"/>
      <c r="E307" s="41"/>
      <c r="F307" s="41"/>
      <c r="I307" s="35"/>
      <c r="M307" s="45"/>
      <c r="O307" s="45"/>
      <c r="P307" s="45"/>
    </row>
    <row r="308" spans="2:16" x14ac:dyDescent="0.25">
      <c r="B308" s="45"/>
      <c r="C308" s="41"/>
      <c r="D308" s="41"/>
      <c r="E308" s="45"/>
      <c r="F308" s="41"/>
      <c r="I308" s="35"/>
      <c r="M308" s="45"/>
      <c r="O308" s="45"/>
      <c r="P308" s="45"/>
    </row>
    <row r="309" spans="2:16" x14ac:dyDescent="0.25">
      <c r="B309" s="41"/>
      <c r="C309" s="45"/>
      <c r="D309" s="45"/>
      <c r="E309" s="45"/>
      <c r="F309" s="41"/>
      <c r="I309" s="35"/>
      <c r="M309" s="45"/>
      <c r="O309" s="45"/>
      <c r="P309" s="45"/>
    </row>
    <row r="310" spans="2:16" x14ac:dyDescent="0.25">
      <c r="B310" s="45"/>
      <c r="C310" s="45"/>
      <c r="D310" s="45"/>
      <c r="E310" s="45"/>
      <c r="F310" s="41"/>
      <c r="I310" s="35"/>
      <c r="M310" s="45"/>
      <c r="O310" s="45"/>
      <c r="P310" s="45"/>
    </row>
    <row r="311" spans="2:16" x14ac:dyDescent="0.25">
      <c r="B311" s="45"/>
      <c r="C311" s="45"/>
      <c r="D311" s="45"/>
      <c r="E311" s="45"/>
      <c r="F311" s="41"/>
      <c r="I311" s="35"/>
      <c r="M311" s="45"/>
      <c r="O311" s="45"/>
      <c r="P311" s="45"/>
    </row>
    <row r="312" spans="2:16" x14ac:dyDescent="0.25">
      <c r="B312" s="45"/>
      <c r="E312" s="41"/>
      <c r="F312" s="41"/>
      <c r="I312" s="35"/>
    </row>
    <row r="313" spans="2:16" x14ac:dyDescent="0.25">
      <c r="B313" s="45"/>
      <c r="E313" s="45"/>
      <c r="F313" s="41"/>
      <c r="I313" s="35"/>
    </row>
    <row r="314" spans="2:16" x14ac:dyDescent="0.25">
      <c r="B314" s="45"/>
      <c r="E314" s="45"/>
      <c r="F314" s="41"/>
      <c r="I314" s="35"/>
    </row>
    <row r="315" spans="2:16" x14ac:dyDescent="0.25">
      <c r="B315" s="41"/>
      <c r="E315" s="45"/>
      <c r="F315" s="63"/>
      <c r="I315" s="35"/>
    </row>
    <row r="316" spans="2:16" x14ac:dyDescent="0.25">
      <c r="B316" s="45"/>
      <c r="E316" s="41"/>
      <c r="F316" s="63"/>
      <c r="I316" s="35"/>
    </row>
    <row r="317" spans="2:16" x14ac:dyDescent="0.25">
      <c r="B317" s="45"/>
      <c r="E317" s="45"/>
      <c r="F317" s="63"/>
      <c r="I317" s="35"/>
    </row>
    <row r="318" spans="2:16" x14ac:dyDescent="0.25">
      <c r="B318" s="45"/>
      <c r="E318" s="45"/>
      <c r="F318" s="63"/>
      <c r="H318" s="39"/>
      <c r="I318" s="39"/>
      <c r="J318" s="39"/>
    </row>
    <row r="319" spans="2:16" x14ac:dyDescent="0.25">
      <c r="B319" s="41"/>
      <c r="E319" s="45"/>
      <c r="F319" s="63"/>
      <c r="H319" s="41"/>
      <c r="I319" s="41"/>
      <c r="J319" s="41"/>
    </row>
    <row r="320" spans="2:16" x14ac:dyDescent="0.25">
      <c r="B320" s="45"/>
      <c r="F320" s="63"/>
      <c r="H320" s="45"/>
      <c r="I320" s="45"/>
      <c r="J320" s="45"/>
    </row>
    <row r="321" spans="2:10" x14ac:dyDescent="0.25">
      <c r="B321" s="45"/>
      <c r="F321" s="63"/>
      <c r="H321" s="45"/>
      <c r="I321" s="45"/>
      <c r="J321" s="45"/>
    </row>
    <row r="322" spans="2:10" x14ac:dyDescent="0.25">
      <c r="B322" s="45"/>
      <c r="F322" s="63"/>
      <c r="H322" s="45"/>
      <c r="I322" s="45"/>
      <c r="J322" s="45"/>
    </row>
    <row r="323" spans="2:10" x14ac:dyDescent="0.25">
      <c r="F323" s="63"/>
      <c r="H323" s="41"/>
      <c r="I323" s="41"/>
      <c r="J323" s="41"/>
    </row>
    <row r="324" spans="2:10" x14ac:dyDescent="0.25">
      <c r="F324" s="63"/>
      <c r="H324" s="45"/>
      <c r="I324" s="45"/>
      <c r="J324" s="45"/>
    </row>
    <row r="325" spans="2:10" x14ac:dyDescent="0.25">
      <c r="F325" s="63"/>
      <c r="H325" s="45"/>
      <c r="I325" s="45"/>
      <c r="J325" s="45"/>
    </row>
    <row r="326" spans="2:10" x14ac:dyDescent="0.25">
      <c r="F326" s="63"/>
      <c r="H326" s="45"/>
      <c r="I326" s="45"/>
      <c r="J326" s="45"/>
    </row>
    <row r="327" spans="2:10" x14ac:dyDescent="0.25">
      <c r="F327" s="63"/>
      <c r="H327" s="41"/>
      <c r="I327" s="41"/>
      <c r="J327" s="41"/>
    </row>
    <row r="328" spans="2:10" x14ac:dyDescent="0.25">
      <c r="F328" s="63"/>
      <c r="H328" s="45"/>
      <c r="I328" s="45"/>
      <c r="J328" s="45"/>
    </row>
    <row r="329" spans="2:10" x14ac:dyDescent="0.25">
      <c r="F329" s="63"/>
      <c r="H329" s="45"/>
      <c r="I329" s="45"/>
      <c r="J329" s="45"/>
    </row>
    <row r="330" spans="2:10" x14ac:dyDescent="0.25">
      <c r="F330" s="63"/>
      <c r="H330" s="45"/>
      <c r="I330" s="45"/>
      <c r="J330" s="45"/>
    </row>
    <row r="331" spans="2:10" x14ac:dyDescent="0.25">
      <c r="F331" s="63"/>
      <c r="H331" s="41"/>
      <c r="I331" s="41"/>
      <c r="J331" s="41"/>
    </row>
    <row r="332" spans="2:10" x14ac:dyDescent="0.25">
      <c r="F332" s="63"/>
      <c r="H332" s="45"/>
      <c r="I332" s="45"/>
      <c r="J332" s="45"/>
    </row>
    <row r="333" spans="2:10" x14ac:dyDescent="0.25">
      <c r="F333" s="63"/>
      <c r="H333" s="45"/>
      <c r="I333" s="45"/>
      <c r="J333" s="45"/>
    </row>
    <row r="334" spans="2:10" x14ac:dyDescent="0.25">
      <c r="F334" s="63"/>
      <c r="H334" s="45"/>
      <c r="I334" s="45"/>
      <c r="J334" s="45"/>
    </row>
    <row r="335" spans="2:10" x14ac:dyDescent="0.25">
      <c r="F335" s="63"/>
      <c r="H335" s="41"/>
      <c r="I335" s="41"/>
      <c r="J335" s="41"/>
    </row>
    <row r="336" spans="2:10" x14ac:dyDescent="0.25">
      <c r="F336" s="63"/>
      <c r="H336" s="45"/>
      <c r="I336" s="45"/>
      <c r="J336" s="45"/>
    </row>
    <row r="337" spans="6:6" x14ac:dyDescent="0.25">
      <c r="F337" s="63"/>
    </row>
    <row r="338" spans="6:6" x14ac:dyDescent="0.25">
      <c r="F338" s="63"/>
    </row>
    <row r="339" spans="6:6" x14ac:dyDescent="0.25">
      <c r="F339" s="63"/>
    </row>
    <row r="340" spans="6:6" x14ac:dyDescent="0.25">
      <c r="F340" s="63"/>
    </row>
    <row r="341" spans="6:6" x14ac:dyDescent="0.25">
      <c r="F341" s="63"/>
    </row>
    <row r="342" spans="6:6" x14ac:dyDescent="0.25">
      <c r="F342" s="63"/>
    </row>
    <row r="343" spans="6:6" x14ac:dyDescent="0.25">
      <c r="F343" s="63"/>
    </row>
    <row r="344" spans="6:6" x14ac:dyDescent="0.25">
      <c r="F344" s="63"/>
    </row>
    <row r="345" spans="6:6" x14ac:dyDescent="0.25">
      <c r="F345" s="63"/>
    </row>
    <row r="346" spans="6:6" x14ac:dyDescent="0.25">
      <c r="F346" s="63"/>
    </row>
    <row r="347" spans="6:6" x14ac:dyDescent="0.25">
      <c r="F347" s="63"/>
    </row>
    <row r="348" spans="6:6" x14ac:dyDescent="0.25">
      <c r="F348" s="63"/>
    </row>
    <row r="349" spans="6:6" x14ac:dyDescent="0.25">
      <c r="F349" s="63"/>
    </row>
    <row r="350" spans="6:6" x14ac:dyDescent="0.25">
      <c r="F350" s="63"/>
    </row>
    <row r="351" spans="6:6" x14ac:dyDescent="0.25">
      <c r="F351" s="63"/>
    </row>
    <row r="352" spans="6:6" x14ac:dyDescent="0.25">
      <c r="F352" s="63"/>
    </row>
    <row r="353" spans="6:6" x14ac:dyDescent="0.25">
      <c r="F353" s="63"/>
    </row>
    <row r="354" spans="6:6" x14ac:dyDescent="0.25">
      <c r="F354" s="63"/>
    </row>
    <row r="355" spans="6:6" x14ac:dyDescent="0.25">
      <c r="F355" s="63"/>
    </row>
    <row r="356" spans="6:6" x14ac:dyDescent="0.25">
      <c r="F356" s="63"/>
    </row>
    <row r="357" spans="6:6" x14ac:dyDescent="0.25">
      <c r="F357" s="63"/>
    </row>
    <row r="358" spans="6:6" x14ac:dyDescent="0.25">
      <c r="F358" s="63"/>
    </row>
    <row r="359" spans="6:6" x14ac:dyDescent="0.25">
      <c r="F359" s="63"/>
    </row>
    <row r="360" spans="6:6" x14ac:dyDescent="0.25">
      <c r="F360" s="63"/>
    </row>
    <row r="361" spans="6:6" x14ac:dyDescent="0.25">
      <c r="F361" s="63"/>
    </row>
    <row r="362" spans="6:6" x14ac:dyDescent="0.25">
      <c r="F362" s="63"/>
    </row>
    <row r="363" spans="6:6" x14ac:dyDescent="0.25">
      <c r="F363" s="63"/>
    </row>
    <row r="364" spans="6:6" x14ac:dyDescent="0.25">
      <c r="F364" s="63"/>
    </row>
    <row r="365" spans="6:6" x14ac:dyDescent="0.25">
      <c r="F365" s="63"/>
    </row>
    <row r="366" spans="6:6" x14ac:dyDescent="0.25">
      <c r="F366" s="63"/>
    </row>
    <row r="367" spans="6:6" x14ac:dyDescent="0.25">
      <c r="F367" s="63"/>
    </row>
    <row r="368" spans="6:6" x14ac:dyDescent="0.25">
      <c r="F368" s="63"/>
    </row>
    <row r="369" spans="6:6" x14ac:dyDescent="0.25">
      <c r="F369" s="63"/>
    </row>
    <row r="370" spans="6:6" x14ac:dyDescent="0.25">
      <c r="F370" s="63"/>
    </row>
    <row r="371" spans="6:6" x14ac:dyDescent="0.25">
      <c r="F371" s="63"/>
    </row>
    <row r="372" spans="6:6" x14ac:dyDescent="0.25">
      <c r="F372" s="63"/>
    </row>
    <row r="373" spans="6:6" x14ac:dyDescent="0.25">
      <c r="F373" s="63"/>
    </row>
    <row r="374" spans="6:6" x14ac:dyDescent="0.25">
      <c r="F374" s="63"/>
    </row>
    <row r="375" spans="6:6" x14ac:dyDescent="0.25">
      <c r="F375" s="63"/>
    </row>
    <row r="376" spans="6:6" x14ac:dyDescent="0.25">
      <c r="F376" s="63"/>
    </row>
    <row r="377" spans="6:6" x14ac:dyDescent="0.25">
      <c r="F377" s="63"/>
    </row>
    <row r="378" spans="6:6" x14ac:dyDescent="0.25">
      <c r="F378" s="63"/>
    </row>
    <row r="379" spans="6:6" x14ac:dyDescent="0.25">
      <c r="F379" s="63"/>
    </row>
    <row r="380" spans="6:6" x14ac:dyDescent="0.25">
      <c r="F380" s="63"/>
    </row>
    <row r="381" spans="6:6" x14ac:dyDescent="0.25">
      <c r="F381" s="63"/>
    </row>
    <row r="382" spans="6:6" x14ac:dyDescent="0.25">
      <c r="F382" s="63"/>
    </row>
    <row r="383" spans="6:6" x14ac:dyDescent="0.25">
      <c r="F383" s="63"/>
    </row>
    <row r="384" spans="6:6" x14ac:dyDescent="0.25">
      <c r="F384" s="63"/>
    </row>
    <row r="385" spans="6:6" x14ac:dyDescent="0.25">
      <c r="F385" s="63"/>
    </row>
    <row r="386" spans="6:6" x14ac:dyDescent="0.25">
      <c r="F386" s="63"/>
    </row>
    <row r="387" spans="6:6" x14ac:dyDescent="0.25">
      <c r="F387" s="63"/>
    </row>
    <row r="388" spans="6:6" x14ac:dyDescent="0.25">
      <c r="F388" s="63"/>
    </row>
    <row r="389" spans="6:6" x14ac:dyDescent="0.25">
      <c r="F389" s="63"/>
    </row>
    <row r="390" spans="6:6" x14ac:dyDescent="0.25">
      <c r="F390" s="63"/>
    </row>
    <row r="391" spans="6:6" x14ac:dyDescent="0.25">
      <c r="F391" s="63"/>
    </row>
    <row r="392" spans="6:6" x14ac:dyDescent="0.25">
      <c r="F392" s="63"/>
    </row>
    <row r="393" spans="6:6" x14ac:dyDescent="0.25">
      <c r="F393" s="63"/>
    </row>
    <row r="394" spans="6:6" x14ac:dyDescent="0.25">
      <c r="F394" s="63"/>
    </row>
    <row r="395" spans="6:6" x14ac:dyDescent="0.25">
      <c r="F395" s="63"/>
    </row>
    <row r="396" spans="6:6" x14ac:dyDescent="0.25">
      <c r="F396" s="63"/>
    </row>
  </sheetData>
  <mergeCells count="2">
    <mergeCell ref="A3:G3"/>
    <mergeCell ref="H3:N3"/>
  </mergeCells>
  <phoneticPr fontId="4" type="noConversion"/>
  <pageMargins left="0.38" right="0.25" top="0.5" bottom="0.49" header="0.5" footer="0.5"/>
  <pageSetup scale="59" orientation="landscape" r:id="rId1"/>
  <headerFooter alignWithMargins="0"/>
  <rowBreaks count="6" manualBreakCount="6">
    <brk id="48" max="16383" man="1"/>
    <brk id="92" max="16383" man="1"/>
    <brk id="137" max="16383" man="1"/>
    <brk id="181" max="16383" man="1"/>
    <brk id="225" max="15" man="1"/>
    <brk id="269" max="16383" man="1"/>
  </rowBreaks>
  <colBreaks count="1" manualBreakCount="1">
    <brk id="7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zoomScaleNormal="100" workbookViewId="0">
      <selection activeCell="F251" sqref="F250:F251"/>
    </sheetView>
  </sheetViews>
  <sheetFormatPr defaultRowHeight="15.75" x14ac:dyDescent="0.25"/>
  <cols>
    <col min="1" max="1" width="8.5703125" style="35" customWidth="1"/>
    <col min="2" max="2" width="19.28515625" style="35" customWidth="1"/>
    <col min="3" max="3" width="24" style="35" customWidth="1"/>
    <col min="4" max="4" width="30.28515625" style="35" customWidth="1"/>
    <col min="5" max="5" width="18.5703125" style="35" customWidth="1"/>
    <col min="6" max="6" width="25.140625" style="35" customWidth="1"/>
    <col min="7" max="16384" width="9.140625" style="35"/>
  </cols>
  <sheetData>
    <row r="1" spans="1:8" x14ac:dyDescent="0.25">
      <c r="A1" s="43" t="s">
        <v>86</v>
      </c>
    </row>
    <row r="2" spans="1:8" x14ac:dyDescent="0.25">
      <c r="A2" s="43"/>
    </row>
    <row r="3" spans="1:8" ht="16.5" customHeight="1" x14ac:dyDescent="0.25">
      <c r="A3" s="59" t="s">
        <v>107</v>
      </c>
    </row>
    <row r="4" spans="1:8" ht="64.5" customHeight="1" x14ac:dyDescent="0.25">
      <c r="A4" s="79" t="s">
        <v>127</v>
      </c>
      <c r="B4" s="80"/>
      <c r="C4" s="80"/>
      <c r="D4" s="80"/>
      <c r="E4" s="80"/>
      <c r="F4" s="80"/>
      <c r="G4" s="60"/>
      <c r="H4" s="60"/>
    </row>
    <row r="5" spans="1:8" ht="18" x14ac:dyDescent="0.25">
      <c r="A5" s="81" t="s">
        <v>108</v>
      </c>
      <c r="B5" s="81"/>
      <c r="C5" s="81"/>
      <c r="D5" s="81"/>
      <c r="E5" s="81"/>
      <c r="F5" s="81"/>
    </row>
    <row r="6" spans="1:8" ht="15" customHeight="1" x14ac:dyDescent="0.25">
      <c r="A6" s="81" t="s">
        <v>109</v>
      </c>
      <c r="B6" s="82"/>
      <c r="C6" s="82"/>
      <c r="D6" s="82"/>
      <c r="E6" s="82"/>
      <c r="F6" s="82"/>
    </row>
    <row r="7" spans="1:8" ht="35.25" customHeight="1" x14ac:dyDescent="0.25">
      <c r="A7" s="79" t="s">
        <v>110</v>
      </c>
      <c r="B7" s="80"/>
      <c r="C7" s="80"/>
      <c r="D7" s="80"/>
      <c r="E7" s="80"/>
      <c r="F7" s="80"/>
    </row>
    <row r="8" spans="1:8" ht="27.75" customHeight="1" x14ac:dyDescent="0.25">
      <c r="A8" s="79" t="s">
        <v>111</v>
      </c>
      <c r="B8" s="80"/>
      <c r="C8" s="80"/>
      <c r="D8" s="80"/>
      <c r="E8" s="80"/>
      <c r="F8" s="80"/>
    </row>
    <row r="251" spans="6:6" x14ac:dyDescent="0.25">
      <c r="F251" s="47"/>
    </row>
  </sheetData>
  <mergeCells count="5">
    <mergeCell ref="A8:F8"/>
    <mergeCell ref="A4:F4"/>
    <mergeCell ref="A5:F5"/>
    <mergeCell ref="A6:F6"/>
    <mergeCell ref="A7:F7"/>
  </mergeCells>
  <phoneticPr fontId="4" type="noConversion"/>
  <pageMargins left="0.75" right="0.75" top="1" bottom="1" header="0.5" footer="0.5"/>
  <pageSetup scale="9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75" t="s">
        <v>51</v>
      </c>
      <c r="B40" s="75"/>
      <c r="C40" s="75"/>
      <c r="D40" s="75"/>
      <c r="E40" s="75"/>
      <c r="F40" s="75"/>
      <c r="G40" s="75"/>
      <c r="H40" s="75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75" t="s">
        <v>51</v>
      </c>
      <c r="B73" s="75"/>
      <c r="C73" s="75"/>
      <c r="D73" s="75"/>
      <c r="E73" s="75"/>
      <c r="F73" s="75"/>
      <c r="G73" s="75"/>
      <c r="H73" s="75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4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5" t="s">
        <v>51</v>
      </c>
      <c r="B72" s="75"/>
      <c r="C72" s="75"/>
      <c r="D72" s="75"/>
      <c r="E72" s="75"/>
      <c r="F72" s="75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75" t="s">
        <v>51</v>
      </c>
      <c r="B72" s="75"/>
      <c r="C72" s="75"/>
      <c r="D72" s="75"/>
      <c r="E72" s="75"/>
      <c r="F72" s="75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75" t="s">
        <v>51</v>
      </c>
      <c r="B72" s="75"/>
      <c r="C72" s="75"/>
      <c r="D72" s="75"/>
      <c r="E72" s="75"/>
      <c r="F72" s="75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70"/>
      <c r="B1" s="70"/>
      <c r="C1" s="70"/>
      <c r="D1" s="70"/>
      <c r="E1" s="70"/>
      <c r="F1" s="70"/>
    </row>
    <row r="2" spans="1:7" ht="26.25" customHeight="1" x14ac:dyDescent="0.25">
      <c r="A2" s="71" t="s">
        <v>22</v>
      </c>
      <c r="B2" s="72"/>
      <c r="C2" s="72"/>
      <c r="D2" s="72"/>
      <c r="E2" s="72"/>
      <c r="F2" s="72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75" t="s">
        <v>51</v>
      </c>
      <c r="B72" s="75"/>
      <c r="C72" s="75"/>
      <c r="D72" s="75"/>
      <c r="E72" s="75"/>
      <c r="F72" s="75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7"/>
      <c r="B1" s="77"/>
      <c r="C1" s="77"/>
      <c r="D1" s="77"/>
      <c r="E1" s="77"/>
      <c r="F1" s="77"/>
      <c r="G1" s="77"/>
      <c r="H1" s="77"/>
    </row>
    <row r="2" spans="1:8" ht="18" x14ac:dyDescent="0.25">
      <c r="A2" s="71" t="s">
        <v>22</v>
      </c>
      <c r="B2" s="72"/>
      <c r="C2" s="72"/>
      <c r="D2" s="72"/>
      <c r="E2" s="72"/>
      <c r="F2" s="72"/>
      <c r="G2" s="72"/>
      <c r="H2" s="72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5" t="s">
        <v>51</v>
      </c>
      <c r="B39" s="75"/>
      <c r="C39" s="75"/>
      <c r="D39" s="75"/>
      <c r="E39" s="75"/>
      <c r="F39" s="75"/>
      <c r="G39" s="75"/>
      <c r="H39" s="75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75" t="s">
        <v>51</v>
      </c>
      <c r="B62" s="75"/>
      <c r="C62" s="75"/>
      <c r="D62" s="75"/>
      <c r="E62" s="75"/>
      <c r="F62" s="75"/>
      <c r="G62" s="75"/>
      <c r="H62" s="75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4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7"/>
      <c r="B1" s="77"/>
      <c r="C1" s="77"/>
      <c r="D1" s="77"/>
      <c r="E1" s="77"/>
      <c r="F1" s="77"/>
    </row>
    <row r="2" spans="1:6" ht="18" x14ac:dyDescent="0.25">
      <c r="A2" s="71" t="s">
        <v>22</v>
      </c>
      <c r="B2" s="72"/>
      <c r="C2" s="72"/>
      <c r="D2" s="72"/>
      <c r="E2" s="72"/>
      <c r="F2" s="72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5" t="s">
        <v>51</v>
      </c>
      <c r="B39" s="75"/>
      <c r="C39" s="75"/>
      <c r="D39" s="75"/>
      <c r="E39" s="75"/>
      <c r="F39" s="75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75" t="s">
        <v>51</v>
      </c>
      <c r="B62" s="75"/>
      <c r="C62" s="75"/>
      <c r="D62" s="75"/>
      <c r="E62" s="75"/>
      <c r="F62" s="75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73"/>
      <c r="B1" s="73"/>
      <c r="C1" s="73"/>
      <c r="D1" s="73"/>
      <c r="E1" s="73"/>
      <c r="F1" s="73"/>
      <c r="G1" s="73"/>
      <c r="H1" s="73"/>
      <c r="I1"/>
    </row>
    <row r="2" spans="1:9" ht="26.25" customHeight="1" x14ac:dyDescent="0.25">
      <c r="A2" s="71" t="s">
        <v>22</v>
      </c>
      <c r="B2" s="71"/>
      <c r="C2" s="71"/>
      <c r="D2" s="71"/>
      <c r="E2" s="71"/>
      <c r="F2" s="71"/>
      <c r="G2" s="71"/>
      <c r="H2" s="71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70"/>
      <c r="B1" s="70"/>
      <c r="C1" s="70"/>
      <c r="D1" s="70"/>
      <c r="E1" s="70"/>
      <c r="F1" s="70"/>
    </row>
    <row r="2" spans="1:8" ht="26.25" customHeight="1" x14ac:dyDescent="0.25">
      <c r="A2" s="71" t="s">
        <v>22</v>
      </c>
      <c r="B2" s="72"/>
      <c r="C2" s="72"/>
      <c r="D2" s="72"/>
      <c r="E2" s="72"/>
      <c r="F2" s="72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70"/>
      <c r="B1" s="70"/>
      <c r="C1" s="70"/>
      <c r="D1" s="70"/>
      <c r="E1" s="70"/>
      <c r="F1" s="70"/>
    </row>
    <row r="2" spans="1:9" ht="26.25" customHeight="1" x14ac:dyDescent="0.25">
      <c r="A2" s="71" t="s">
        <v>22</v>
      </c>
      <c r="B2" s="72"/>
      <c r="C2" s="72"/>
      <c r="D2" s="72"/>
      <c r="E2" s="72"/>
      <c r="F2" s="72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70"/>
      <c r="B1" s="70"/>
      <c r="C1" s="70"/>
      <c r="D1" s="70"/>
      <c r="E1" s="70"/>
      <c r="F1" s="70"/>
    </row>
    <row r="2" spans="1:11" ht="26.25" customHeight="1" x14ac:dyDescent="0.25">
      <c r="A2" s="71" t="s">
        <v>22</v>
      </c>
      <c r="B2" s="72"/>
      <c r="C2" s="72"/>
      <c r="D2" s="72"/>
      <c r="E2" s="72"/>
      <c r="F2" s="72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70"/>
      <c r="B1" s="70"/>
      <c r="C1" s="70"/>
      <c r="D1" s="70"/>
      <c r="E1" s="70"/>
      <c r="F1" s="70"/>
    </row>
    <row r="2" spans="1:11" ht="26.25" customHeight="1" x14ac:dyDescent="0.25">
      <c r="A2" s="71" t="s">
        <v>22</v>
      </c>
      <c r="B2" s="72"/>
      <c r="C2" s="72"/>
      <c r="D2" s="72"/>
      <c r="E2" s="72"/>
      <c r="F2" s="72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2012-13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'FY 2012-13'!Print_Area</vt:lpstr>
      <vt:lpstr>'June 4'!Print_Area</vt:lpstr>
      <vt:lpstr>'Mar 12'!Print_Area</vt:lpstr>
      <vt:lpstr>'Feb 19'!Print_Titles</vt:lpstr>
      <vt:lpstr>'FY 2012-13'!Print_Titles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Rhen, David (PGCB)</cp:lastModifiedBy>
  <cp:lastPrinted>2013-07-15T15:56:23Z</cp:lastPrinted>
  <dcterms:created xsi:type="dcterms:W3CDTF">2006-12-27T14:53:17Z</dcterms:created>
  <dcterms:modified xsi:type="dcterms:W3CDTF">2013-07-15T18:36:53Z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BExAnalyzer_OldName">
    <vt:lpwstr>FY 2012-13 Table Games Monthly Revenue Report - For Web.xlsx</vt:lpwstr>
  </property>
</Properties>
</file>